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21" yWindow="120" windowWidth="15330" windowHeight="8730" activeTab="0"/>
  </bookViews>
  <sheets>
    <sheet name="18年度普通会計" sheetId="1" r:id="rId1"/>
  </sheets>
  <definedNames>
    <definedName name="_xlnm.Print_Area" localSheetId="0">'18年度普通会計'!$A$1:$AE$56</definedName>
  </definedNames>
  <calcPr fullCalcOnLoad="1"/>
</workbook>
</file>

<file path=xl/sharedStrings.xml><?xml version="1.0" encoding="utf-8"?>
<sst xmlns="http://schemas.openxmlformats.org/spreadsheetml/2006/main" count="262" uniqueCount="210">
  <si>
    <t>（単位：千円）</t>
  </si>
  <si>
    <t>志   木    市</t>
  </si>
  <si>
    <t>人     口</t>
  </si>
  <si>
    <t>歳   出   内   訳  (  目   的   別  ）</t>
  </si>
  <si>
    <t>国</t>
  </si>
  <si>
    <t>人</t>
  </si>
  <si>
    <t>面  積</t>
  </si>
  <si>
    <t>K㎡</t>
  </si>
  <si>
    <t>市町村類型</t>
  </si>
  <si>
    <t>Ⅱ－５</t>
  </si>
  <si>
    <t>区        分</t>
  </si>
  <si>
    <t>決算額</t>
  </si>
  <si>
    <t>構成比</t>
  </si>
  <si>
    <t>差</t>
  </si>
  <si>
    <t>絶対値</t>
  </si>
  <si>
    <t>順位</t>
  </si>
  <si>
    <t>増減率</t>
  </si>
  <si>
    <t>人口1人当り額（円）</t>
  </si>
  <si>
    <t>一般財源</t>
  </si>
  <si>
    <t>人口密度</t>
  </si>
  <si>
    <t>産   業   構   造</t>
  </si>
  <si>
    <t>地方税</t>
  </si>
  <si>
    <t>議会費</t>
  </si>
  <si>
    <t>調</t>
  </si>
  <si>
    <t>増加率</t>
  </si>
  <si>
    <t>％</t>
  </si>
  <si>
    <t>(人/K㎡）</t>
  </si>
  <si>
    <t>区 分</t>
  </si>
  <si>
    <t>第１次</t>
  </si>
  <si>
    <t>第２次</t>
  </si>
  <si>
    <t>第３次</t>
  </si>
  <si>
    <t>地方譲与税</t>
  </si>
  <si>
    <t>総務費</t>
  </si>
  <si>
    <t>基</t>
  </si>
  <si>
    <t>人口集中</t>
  </si>
  <si>
    <t>就</t>
  </si>
  <si>
    <t>利子割交付金</t>
  </si>
  <si>
    <t>民生費</t>
  </si>
  <si>
    <t>本</t>
  </si>
  <si>
    <t>地区人口</t>
  </si>
  <si>
    <t>業</t>
  </si>
  <si>
    <t xml:space="preserve">  調</t>
  </si>
  <si>
    <t>地方消費税交付金</t>
  </si>
  <si>
    <t>衛生費</t>
  </si>
  <si>
    <t>台</t>
  </si>
  <si>
    <t>労働費</t>
  </si>
  <si>
    <t>帳</t>
  </si>
  <si>
    <t>世帯数</t>
  </si>
  <si>
    <t>口</t>
  </si>
  <si>
    <t>農林水産業費</t>
  </si>
  <si>
    <t>区      分</t>
  </si>
  <si>
    <t>区       分</t>
  </si>
  <si>
    <t>指数等</t>
  </si>
  <si>
    <t>商工費</t>
  </si>
  <si>
    <t>歳   入   総   額</t>
  </si>
  <si>
    <t>交付税種地区分</t>
  </si>
  <si>
    <t>Ⅱ－９</t>
  </si>
  <si>
    <t>地方特例交付金</t>
  </si>
  <si>
    <t>土木費</t>
  </si>
  <si>
    <t>（Ａ）</t>
  </si>
  <si>
    <t>基準財政需要額</t>
  </si>
  <si>
    <t>地方交付税</t>
  </si>
  <si>
    <t>消防費</t>
  </si>
  <si>
    <t>歳   出   総   額</t>
  </si>
  <si>
    <t>基準財政収入額</t>
  </si>
  <si>
    <t xml:space="preserve">   うち普通</t>
  </si>
  <si>
    <t>教育費</t>
  </si>
  <si>
    <t>（Ｂ）</t>
  </si>
  <si>
    <t>標準財政規模</t>
  </si>
  <si>
    <t>交通安全交付金</t>
  </si>
  <si>
    <t>災害復旧費</t>
  </si>
  <si>
    <t>歳入歳出差引額</t>
  </si>
  <si>
    <t>財政力指数</t>
  </si>
  <si>
    <t>分担金・負担金</t>
  </si>
  <si>
    <t>公債費</t>
  </si>
  <si>
    <t>(A)-(B)</t>
  </si>
  <si>
    <t>（Ｃ）</t>
  </si>
  <si>
    <t>実質収支比率</t>
  </si>
  <si>
    <t>使用料・手数料</t>
  </si>
  <si>
    <t>諸支出金</t>
  </si>
  <si>
    <t>翌年度へ繰越す</t>
  </si>
  <si>
    <t>公債費比率</t>
  </si>
  <si>
    <t>国庫支出金</t>
  </si>
  <si>
    <t>前年度繰上</t>
  </si>
  <si>
    <t>べき財源</t>
  </si>
  <si>
    <t>（Ｄ）</t>
  </si>
  <si>
    <t>義務的経費比率</t>
  </si>
  <si>
    <t>県支出金</t>
  </si>
  <si>
    <t>充用金</t>
  </si>
  <si>
    <t>実   質   収   支</t>
  </si>
  <si>
    <t>地方債現在高</t>
  </si>
  <si>
    <t>財産収入</t>
  </si>
  <si>
    <t>(C)-(D)</t>
  </si>
  <si>
    <t>（Ｅ）</t>
  </si>
  <si>
    <t>債務負担行為額</t>
  </si>
  <si>
    <t>寄附金</t>
  </si>
  <si>
    <t>単 年 度 収 支（Ｆ）</t>
  </si>
  <si>
    <t>積立金</t>
  </si>
  <si>
    <t>財政調整基金</t>
  </si>
  <si>
    <t>繰入金</t>
  </si>
  <si>
    <t>積   立   金  （Ｇ）</t>
  </si>
  <si>
    <t>その他</t>
  </si>
  <si>
    <t>繰越金</t>
  </si>
  <si>
    <t>繰 上 償 還 金（Ｈ）</t>
  </si>
  <si>
    <t>一般財源比率</t>
  </si>
  <si>
    <t>諸収入</t>
  </si>
  <si>
    <t>地方債</t>
  </si>
  <si>
    <t>実質単年度収支</t>
  </si>
  <si>
    <t>市町村税徴収率</t>
  </si>
  <si>
    <t>合        計</t>
  </si>
  <si>
    <t>合     計</t>
  </si>
  <si>
    <t>市町村税実質徴収率</t>
  </si>
  <si>
    <t>歳      出      内      訳      (     性     質      別     ）</t>
  </si>
  <si>
    <t>区   分</t>
  </si>
  <si>
    <t>職員数</t>
  </si>
  <si>
    <t>平均年齢</t>
  </si>
  <si>
    <t>1人当たり給料月額</t>
  </si>
  <si>
    <t>充 当 経 常 一 般 財 源</t>
  </si>
  <si>
    <t>一般職員</t>
  </si>
  <si>
    <t>人件費</t>
  </si>
  <si>
    <t>人   件   費</t>
  </si>
  <si>
    <t>教育公務員</t>
  </si>
  <si>
    <t xml:space="preserve">  （うち職員給）</t>
  </si>
  <si>
    <t>扶   助   費</t>
  </si>
  <si>
    <t>扶助費</t>
  </si>
  <si>
    <t>公   債   費</t>
  </si>
  <si>
    <t>消防職員</t>
  </si>
  <si>
    <t>物   件   費</t>
  </si>
  <si>
    <t>臨時職員</t>
  </si>
  <si>
    <t>物件費</t>
  </si>
  <si>
    <t>維持補修費</t>
  </si>
  <si>
    <t>議会副議長</t>
  </si>
  <si>
    <t>補 助 費 等</t>
  </si>
  <si>
    <t>合   計</t>
  </si>
  <si>
    <t>補助費等</t>
  </si>
  <si>
    <t>投資・出資・貸付金</t>
  </si>
  <si>
    <t>一部事務組合加入状況</t>
  </si>
  <si>
    <t>会    計    名</t>
  </si>
  <si>
    <t>歳 出 総 額</t>
  </si>
  <si>
    <t>繰   出   金</t>
  </si>
  <si>
    <t>志木地区衛生組合（ごみ）</t>
  </si>
  <si>
    <t>国民健康保険特別会計</t>
  </si>
  <si>
    <t>投資及び出資金</t>
  </si>
  <si>
    <t>合         計</t>
  </si>
  <si>
    <t>朝霞地区一部事務組合</t>
  </si>
  <si>
    <t>（純計後）</t>
  </si>
  <si>
    <t>貸付金</t>
  </si>
  <si>
    <t>繰出金</t>
  </si>
  <si>
    <t>普通建設事業費</t>
  </si>
  <si>
    <t>市町村職員退職手当組合</t>
  </si>
  <si>
    <t>市町村交通災害共済組合</t>
  </si>
  <si>
    <t>内</t>
  </si>
  <si>
    <t>県営事業負担金</t>
  </si>
  <si>
    <t>同級他団体負担金</t>
  </si>
  <si>
    <t>館第一排水ポンプ場特別会計</t>
  </si>
  <si>
    <t>受託事業費</t>
  </si>
  <si>
    <t>自動車取得税交付金</t>
  </si>
  <si>
    <t>訳</t>
  </si>
  <si>
    <t>交通安全対策交付金</t>
  </si>
  <si>
    <t>老人保健特別会計</t>
  </si>
  <si>
    <t>介護保険特別会計</t>
  </si>
  <si>
    <t>下水道事業特別会計</t>
  </si>
  <si>
    <t>臨時財政対策債</t>
  </si>
  <si>
    <t>円</t>
  </si>
  <si>
    <t>（し尿・知的障がい者更生施設・消防）</t>
  </si>
  <si>
    <t>前年度決算額</t>
  </si>
  <si>
    <t>経常一般財源収入</t>
  </si>
  <si>
    <t>議会議長　</t>
  </si>
  <si>
    <t>議会議員　</t>
  </si>
  <si>
    <t>1人当たり月額(円)</t>
  </si>
  <si>
    <t>彩の国さいたま人づくり広域連合</t>
  </si>
  <si>
    <t>技能労務職員</t>
  </si>
  <si>
    <t>市町村消防災害補償組合</t>
  </si>
  <si>
    <t>地下駐車場事業特別会計</t>
  </si>
  <si>
    <t>配当割交付金</t>
  </si>
  <si>
    <t>株式等譲渡所得割交付金</t>
  </si>
  <si>
    <t>ゴルフ場利用税交付金</t>
  </si>
  <si>
    <t>自動車取得税交付金</t>
  </si>
  <si>
    <r>
      <t>公債費比率</t>
    </r>
    <r>
      <rPr>
        <sz val="6"/>
        <rFont val="ＭＳ Ｐ明朝"/>
        <family val="1"/>
      </rPr>
      <t>（債務負担行為）</t>
    </r>
  </si>
  <si>
    <t>経常一般財源収入（減税補てん債・臨財債除く）</t>
  </si>
  <si>
    <t>減税補てん債</t>
  </si>
  <si>
    <t>積立金取崩額 （Ｉ）</t>
  </si>
  <si>
    <t>歳      入       内       訳</t>
  </si>
  <si>
    <t>経常収支率(％)</t>
  </si>
  <si>
    <t>市長</t>
  </si>
  <si>
    <t>人口1人当り額（円）</t>
  </si>
  <si>
    <t>収入役</t>
  </si>
  <si>
    <t>教育長　</t>
  </si>
  <si>
    <t>　　（公営企業会計は除く）
　会計別決算状況</t>
  </si>
  <si>
    <t>地方税</t>
  </si>
  <si>
    <t>地方譲与税</t>
  </si>
  <si>
    <t>利子割交付金</t>
  </si>
  <si>
    <t>補   助</t>
  </si>
  <si>
    <t>単   独</t>
  </si>
  <si>
    <t>地方交付税</t>
  </si>
  <si>
    <t>使用料</t>
  </si>
  <si>
    <t>財産収入</t>
  </si>
  <si>
    <t>諸収入</t>
  </si>
  <si>
    <t>平成１８年度普通会計決算状況調</t>
  </si>
  <si>
    <t>平成１７年度</t>
  </si>
  <si>
    <t>平成１８年度</t>
  </si>
  <si>
    <t>12国</t>
  </si>
  <si>
    <t>17国</t>
  </si>
  <si>
    <t>副市長</t>
  </si>
  <si>
    <t>※1</t>
  </si>
  <si>
    <t>※2</t>
  </si>
  <si>
    <t>実質公債費比率</t>
  </si>
  <si>
    <t>(F)+(G)+(H)-(I)</t>
  </si>
  <si>
    <t>※3</t>
  </si>
  <si>
    <t>※1 決算統計のルール上、公共建築物耐震化基金充当分を含んでおります。 ※2 Ｈ18.10.1から統合され、「市町村総合事務組合」となりました。 ※3 平成19年4月1日からとなります。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</si>
</sst>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%"/>
    <numFmt numFmtId="180" formatCode="&quot;△&quot;\ #,##0;&quot;▲&quot;\ #,##0"/>
    <numFmt numFmtId="181" formatCode="#,##0.0;[Red]\-#,##0.0"/>
    <numFmt numFmtId="182" formatCode="0.0;&quot;△ &quot;0.0"/>
    <numFmt numFmtId="183" formatCode="0;&quot;△ &quot;0"/>
    <numFmt numFmtId="184" formatCode="#,##0;&quot;△ &quot;#,##0"/>
    <numFmt numFmtId="185" formatCode="0.00000"/>
    <numFmt numFmtId="186" formatCode="0.000000"/>
    <numFmt numFmtId="187" formatCode="#,##0.0;&quot;△ &quot;#,##0.0"/>
    <numFmt numFmtId="188" formatCode="0.00;&quot;△ &quot;0.00"/>
    <numFmt numFmtId="189" formatCode="0.0000000"/>
    <numFmt numFmtId="190" formatCode="0.00000000"/>
    <numFmt numFmtId="191" formatCode="0.000000000"/>
    <numFmt numFmtId="192" formatCode="0.0000000000"/>
    <numFmt numFmtId="193" formatCode="#,##0.000;[Red]\-#,##0.000"/>
    <numFmt numFmtId="194" formatCode="0.000_);[Red]\(0.000\)"/>
    <numFmt numFmtId="195" formatCode="#,##0.0_ ;[Red]\-#,##0.0\ "/>
    <numFmt numFmtId="196" formatCode="0.0_ "/>
    <numFmt numFmtId="197" formatCode="#,##0_);\(#,##0\)"/>
    <numFmt numFmtId="198" formatCode="\(#,##0\);\(&quot;△&quot;#,##0\)"/>
    <numFmt numFmtId="199" formatCode="0.0_);\(0.0\)"/>
    <numFmt numFmtId="200" formatCode="\(#,##0.0\);\(&quot;△&quot;#,##0.0\)"/>
    <numFmt numFmtId="201" formatCode="#,##0_);[Red]\(#,##0\)"/>
    <numFmt numFmtId="202" formatCode="\(#,##0.\);\(&quot;△&quot;##,#00\)"/>
    <numFmt numFmtId="203" formatCode="\(#,##0\);\(&quot;△&quot;##,#00\)"/>
    <numFmt numFmtId="204" formatCode="0.0_);[Red]\(0.0\)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1"/>
      <color indexed="16"/>
      <name val="ＭＳ Ｐ明朝"/>
      <family val="1"/>
    </font>
    <font>
      <sz val="11"/>
      <color indexed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92">
    <xf numFmtId="0" fontId="0" fillId="0" borderId="0" xfId="0" applyAlignment="1">
      <alignment/>
    </xf>
    <xf numFmtId="200" fontId="5" fillId="0" borderId="1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6" fillId="0" borderId="4" xfId="0" applyFont="1" applyFill="1" applyBorder="1" applyAlignment="1" applyProtection="1">
      <alignment horizontal="centerContinuous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6" fillId="0" borderId="6" xfId="0" applyFont="1" applyFill="1" applyBorder="1" applyAlignment="1" applyProtection="1">
      <alignment horizontal="centerContinuous"/>
      <protection locked="0"/>
    </xf>
    <xf numFmtId="0" fontId="6" fillId="0" borderId="7" xfId="0" applyFont="1" applyFill="1" applyBorder="1" applyAlignment="1" applyProtection="1">
      <alignment horizontal="centerContinuous"/>
      <protection locked="0"/>
    </xf>
    <xf numFmtId="0" fontId="6" fillId="0" borderId="8" xfId="0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>
      <alignment horizontal="centerContinuous"/>
    </xf>
    <xf numFmtId="0" fontId="6" fillId="0" borderId="13" xfId="0" applyFont="1" applyFill="1" applyBorder="1" applyAlignment="1" applyProtection="1">
      <alignment horizontal="centerContinuous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8" fontId="6" fillId="0" borderId="15" xfId="16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Continuous"/>
      <protection locked="0"/>
    </xf>
    <xf numFmtId="0" fontId="6" fillId="0" borderId="2" xfId="0" applyFont="1" applyFill="1" applyBorder="1" applyAlignment="1" applyProtection="1">
      <alignment horizontal="centerContinuous"/>
      <protection locked="0"/>
    </xf>
    <xf numFmtId="0" fontId="6" fillId="0" borderId="19" xfId="0" applyFont="1" applyFill="1" applyBorder="1" applyAlignment="1" applyProtection="1">
      <alignment horizontal="centerContinuous"/>
      <protection locked="0"/>
    </xf>
    <xf numFmtId="0" fontId="6" fillId="0" borderId="20" xfId="0" applyFont="1" applyFill="1" applyBorder="1" applyAlignment="1" applyProtection="1">
      <alignment horizontal="centerContinuous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38" fontId="5" fillId="0" borderId="15" xfId="16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 applyProtection="1">
      <alignment horizontal="distributed"/>
      <protection locked="0"/>
    </xf>
    <xf numFmtId="38" fontId="6" fillId="0" borderId="15" xfId="0" applyNumberFormat="1" applyFont="1" applyFill="1" applyBorder="1" applyAlignment="1" applyProtection="1">
      <alignment/>
      <protection locked="0"/>
    </xf>
    <xf numFmtId="181" fontId="5" fillId="0" borderId="22" xfId="16" applyNumberFormat="1" applyFont="1" applyFill="1" applyBorder="1" applyAlignment="1">
      <alignment/>
    </xf>
    <xf numFmtId="178" fontId="6" fillId="0" borderId="16" xfId="15" applyNumberFormat="1" applyFont="1" applyFill="1" applyBorder="1" applyAlignment="1">
      <alignment/>
    </xf>
    <xf numFmtId="177" fontId="6" fillId="0" borderId="16" xfId="15" applyNumberFormat="1" applyFont="1" applyFill="1" applyBorder="1" applyAlignment="1">
      <alignment/>
    </xf>
    <xf numFmtId="1" fontId="6" fillId="0" borderId="16" xfId="15" applyNumberFormat="1" applyFont="1" applyFill="1" applyBorder="1" applyAlignment="1">
      <alignment/>
    </xf>
    <xf numFmtId="187" fontId="5" fillId="0" borderId="15" xfId="16" applyNumberFormat="1" applyFont="1" applyFill="1" applyBorder="1" applyAlignment="1" applyProtection="1">
      <alignment/>
      <protection locked="0"/>
    </xf>
    <xf numFmtId="38" fontId="5" fillId="0" borderId="23" xfId="16" applyFont="1" applyFill="1" applyBorder="1" applyAlignment="1">
      <alignment/>
    </xf>
    <xf numFmtId="38" fontId="5" fillId="0" borderId="15" xfId="16" applyFont="1" applyFill="1" applyBorder="1" applyAlignment="1">
      <alignment/>
    </xf>
    <xf numFmtId="187" fontId="5" fillId="0" borderId="0" xfId="16" applyNumberFormat="1" applyFont="1" applyFill="1" applyBorder="1" applyAlignment="1">
      <alignment/>
    </xf>
    <xf numFmtId="0" fontId="6" fillId="0" borderId="21" xfId="0" applyFont="1" applyFill="1" applyBorder="1" applyAlignment="1" applyProtection="1">
      <alignment/>
      <protection locked="0"/>
    </xf>
    <xf numFmtId="182" fontId="5" fillId="0" borderId="15" xfId="0" applyNumberFormat="1" applyFont="1" applyFill="1" applyBorder="1" applyAlignment="1">
      <alignment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 applyProtection="1">
      <alignment horizontal="centerContinuous"/>
      <protection locked="0"/>
    </xf>
    <xf numFmtId="0" fontId="6" fillId="0" borderId="16" xfId="0" applyFont="1" applyFill="1" applyBorder="1" applyAlignment="1" applyProtection="1">
      <alignment horizontal="centerContinuous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57" fontId="8" fillId="0" borderId="15" xfId="0" applyNumberFormat="1" applyFont="1" applyFill="1" applyBorder="1" applyAlignment="1" applyProtection="1">
      <alignment horizontal="distributed"/>
      <protection locked="0"/>
    </xf>
    <xf numFmtId="38" fontId="6" fillId="0" borderId="15" xfId="16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right"/>
      <protection locked="0"/>
    </xf>
    <xf numFmtId="38" fontId="6" fillId="0" borderId="23" xfId="16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right"/>
      <protection locked="0"/>
    </xf>
    <xf numFmtId="179" fontId="5" fillId="0" borderId="15" xfId="0" applyNumberFormat="1" applyFont="1" applyFill="1" applyBorder="1" applyAlignment="1">
      <alignment/>
    </xf>
    <xf numFmtId="179" fontId="5" fillId="0" borderId="23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57" fontId="5" fillId="0" borderId="8" xfId="0" applyNumberFormat="1" applyFont="1" applyFill="1" applyBorder="1" applyAlignment="1">
      <alignment horizontal="center"/>
    </xf>
    <xf numFmtId="38" fontId="6" fillId="0" borderId="0" xfId="16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82" fontId="5" fillId="0" borderId="19" xfId="0" applyNumberFormat="1" applyFont="1" applyFill="1" applyBorder="1" applyAlignment="1">
      <alignment/>
    </xf>
    <xf numFmtId="0" fontId="6" fillId="0" borderId="2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38" fontId="6" fillId="0" borderId="2" xfId="16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/>
      <protection locked="0"/>
    </xf>
    <xf numFmtId="179" fontId="5" fillId="0" borderId="1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38" fontId="6" fillId="0" borderId="16" xfId="16" applyFont="1" applyFill="1" applyBorder="1" applyAlignment="1" applyProtection="1">
      <alignment/>
      <protection locked="0"/>
    </xf>
    <xf numFmtId="38" fontId="6" fillId="0" borderId="23" xfId="16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81" fontId="5" fillId="0" borderId="22" xfId="16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38" fontId="5" fillId="0" borderId="16" xfId="0" applyNumberFormat="1" applyFont="1" applyFill="1" applyBorder="1" applyAlignment="1" applyProtection="1">
      <alignment/>
      <protection locked="0"/>
    </xf>
    <xf numFmtId="38" fontId="5" fillId="0" borderId="15" xfId="16" applyFont="1" applyFill="1" applyBorder="1" applyAlignment="1" applyProtection="1">
      <alignment/>
      <protection locked="0"/>
    </xf>
    <xf numFmtId="178" fontId="6" fillId="0" borderId="23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81" fontId="5" fillId="0" borderId="25" xfId="16" applyNumberFormat="1" applyFont="1" applyFill="1" applyBorder="1" applyAlignment="1" applyProtection="1">
      <alignment/>
      <protection locked="0"/>
    </xf>
    <xf numFmtId="38" fontId="5" fillId="0" borderId="16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84" fontId="6" fillId="0" borderId="16" xfId="16" applyNumberFormat="1" applyFont="1" applyFill="1" applyBorder="1" applyAlignment="1" applyProtection="1">
      <alignment/>
      <protection locked="0"/>
    </xf>
    <xf numFmtId="181" fontId="6" fillId="0" borderId="23" xfId="16" applyNumberFormat="1" applyFont="1" applyFill="1" applyBorder="1" applyAlignment="1" applyProtection="1">
      <alignment/>
      <protection locked="0"/>
    </xf>
    <xf numFmtId="38" fontId="5" fillId="0" borderId="19" xfId="0" applyNumberFormat="1" applyFont="1" applyFill="1" applyBorder="1" applyAlignment="1">
      <alignment/>
    </xf>
    <xf numFmtId="178" fontId="6" fillId="0" borderId="2" xfId="15" applyNumberFormat="1" applyFont="1" applyFill="1" applyBorder="1" applyAlignment="1">
      <alignment/>
    </xf>
    <xf numFmtId="177" fontId="6" fillId="0" borderId="2" xfId="15" applyNumberFormat="1" applyFont="1" applyFill="1" applyBorder="1" applyAlignment="1">
      <alignment/>
    </xf>
    <xf numFmtId="1" fontId="6" fillId="0" borderId="2" xfId="15" applyNumberFormat="1" applyFont="1" applyFill="1" applyBorder="1" applyAlignment="1">
      <alignment/>
    </xf>
    <xf numFmtId="38" fontId="5" fillId="0" borderId="27" xfId="0" applyNumberFormat="1" applyFont="1" applyFill="1" applyBorder="1" applyAlignment="1">
      <alignment/>
    </xf>
    <xf numFmtId="38" fontId="5" fillId="0" borderId="30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40" fontId="6" fillId="0" borderId="14" xfId="16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0" xfId="0" applyFont="1" applyFill="1" applyBorder="1" applyAlignment="1">
      <alignment horizontal="centerContinuous"/>
    </xf>
    <xf numFmtId="0" fontId="6" fillId="0" borderId="7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 horizontal="centerContinuous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4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78" fontId="6" fillId="0" borderId="16" xfId="0" applyNumberFormat="1" applyFont="1" applyFill="1" applyBorder="1" applyAlignment="1" applyProtection="1">
      <alignment horizontal="center"/>
      <protection locked="0"/>
    </xf>
    <xf numFmtId="178" fontId="5" fillId="0" borderId="3" xfId="0" applyNumberFormat="1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>
      <alignment/>
    </xf>
    <xf numFmtId="178" fontId="6" fillId="0" borderId="2" xfId="0" applyNumberFormat="1" applyFont="1" applyFill="1" applyBorder="1" applyAlignment="1">
      <alignment horizontal="center"/>
    </xf>
    <xf numFmtId="38" fontId="6" fillId="0" borderId="2" xfId="16" applyFont="1" applyFill="1" applyBorder="1" applyAlignment="1" applyProtection="1">
      <alignment/>
      <protection/>
    </xf>
    <xf numFmtId="196" fontId="6" fillId="0" borderId="0" xfId="0" applyNumberFormat="1" applyFont="1" applyFill="1" applyAlignment="1">
      <alignment/>
    </xf>
    <xf numFmtId="38" fontId="6" fillId="0" borderId="26" xfId="16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/>
      <protection locked="0"/>
    </xf>
    <xf numFmtId="181" fontId="10" fillId="0" borderId="16" xfId="16" applyNumberFormat="1" applyFont="1" applyFill="1" applyBorder="1" applyAlignment="1">
      <alignment/>
    </xf>
    <xf numFmtId="38" fontId="5" fillId="0" borderId="16" xfId="16" applyFont="1" applyFill="1" applyBorder="1" applyAlignment="1">
      <alignment/>
    </xf>
    <xf numFmtId="0" fontId="9" fillId="0" borderId="21" xfId="0" applyFont="1" applyFill="1" applyBorder="1" applyAlignment="1" applyProtection="1">
      <alignment horizontal="left" indent="1"/>
      <protection locked="0"/>
    </xf>
    <xf numFmtId="38" fontId="6" fillId="0" borderId="0" xfId="0" applyNumberFormat="1" applyFont="1" applyFill="1" applyAlignment="1">
      <alignment/>
    </xf>
    <xf numFmtId="0" fontId="6" fillId="0" borderId="32" xfId="0" applyFont="1" applyFill="1" applyBorder="1" applyAlignment="1" applyProtection="1">
      <alignment horizontal="center"/>
      <protection locked="0"/>
    </xf>
    <xf numFmtId="181" fontId="5" fillId="0" borderId="8" xfId="16" applyNumberFormat="1" applyFont="1" applyFill="1" applyBorder="1" applyAlignment="1" applyProtection="1">
      <alignment/>
      <protection locked="0"/>
    </xf>
    <xf numFmtId="178" fontId="6" fillId="0" borderId="8" xfId="15" applyNumberFormat="1" applyFont="1" applyFill="1" applyBorder="1" applyAlignment="1">
      <alignment/>
    </xf>
    <xf numFmtId="177" fontId="6" fillId="0" borderId="8" xfId="15" applyNumberFormat="1" applyFont="1" applyFill="1" applyBorder="1" applyAlignment="1">
      <alignment/>
    </xf>
    <xf numFmtId="1" fontId="6" fillId="0" borderId="8" xfId="15" applyNumberFormat="1" applyFont="1" applyFill="1" applyBorder="1" applyAlignment="1">
      <alignment/>
    </xf>
    <xf numFmtId="38" fontId="5" fillId="0" borderId="8" xfId="0" applyNumberFormat="1" applyFont="1" applyFill="1" applyBorder="1" applyAlignment="1">
      <alignment/>
    </xf>
    <xf numFmtId="178" fontId="5" fillId="0" borderId="8" xfId="15" applyNumberFormat="1" applyFont="1" applyFill="1" applyBorder="1" applyAlignment="1">
      <alignment/>
    </xf>
    <xf numFmtId="38" fontId="5" fillId="0" borderId="8" xfId="0" applyNumberFormat="1" applyFont="1" applyFill="1" applyBorder="1" applyAlignment="1" applyProtection="1">
      <alignment/>
      <protection locked="0"/>
    </xf>
    <xf numFmtId="178" fontId="5" fillId="0" borderId="8" xfId="15" applyNumberFormat="1" applyFont="1" applyFill="1" applyBorder="1" applyAlignment="1" applyProtection="1">
      <alignment/>
      <protection locked="0"/>
    </xf>
    <xf numFmtId="40" fontId="6" fillId="0" borderId="8" xfId="16" applyNumberFormat="1" applyFont="1" applyFill="1" applyBorder="1" applyAlignment="1">
      <alignment/>
    </xf>
    <xf numFmtId="187" fontId="5" fillId="0" borderId="8" xfId="16" applyNumberFormat="1" applyFont="1" applyFill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22" fontId="7" fillId="0" borderId="0" xfId="0" applyNumberFormat="1" applyFont="1" applyFill="1" applyAlignment="1">
      <alignment/>
    </xf>
    <xf numFmtId="22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Border="1" applyAlignment="1">
      <alignment horizontal="center"/>
    </xf>
    <xf numFmtId="38" fontId="6" fillId="0" borderId="0" xfId="16" applyFont="1" applyFill="1" applyBorder="1" applyAlignment="1">
      <alignment/>
    </xf>
    <xf numFmtId="0" fontId="11" fillId="0" borderId="0" xfId="0" applyFont="1" applyFill="1" applyAlignment="1" applyProtection="1">
      <alignment horizontal="centerContinuous"/>
      <protection locked="0"/>
    </xf>
    <xf numFmtId="0" fontId="9" fillId="0" borderId="28" xfId="0" applyFont="1" applyFill="1" applyBorder="1" applyAlignment="1" applyProtection="1">
      <alignment horizontal="centerContinuous"/>
      <protection locked="0"/>
    </xf>
    <xf numFmtId="38" fontId="6" fillId="2" borderId="16" xfId="16" applyFont="1" applyFill="1" applyBorder="1" applyAlignment="1">
      <alignment/>
    </xf>
    <xf numFmtId="0" fontId="6" fillId="0" borderId="33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38" fontId="6" fillId="0" borderId="36" xfId="16" applyFont="1" applyFill="1" applyBorder="1" applyAlignment="1" applyProtection="1">
      <alignment horizontal="right"/>
      <protection locked="0"/>
    </xf>
    <xf numFmtId="0" fontId="12" fillId="0" borderId="14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 locked="0"/>
    </xf>
    <xf numFmtId="178" fontId="6" fillId="0" borderId="4" xfId="0" applyNumberFormat="1" applyFont="1" applyFill="1" applyBorder="1" applyAlignment="1" applyProtection="1">
      <alignment horizontal="center"/>
      <protection locked="0"/>
    </xf>
    <xf numFmtId="38" fontId="6" fillId="0" borderId="4" xfId="16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shrinkToFit="1"/>
    </xf>
    <xf numFmtId="0" fontId="6" fillId="0" borderId="37" xfId="0" applyFont="1" applyFill="1" applyBorder="1" applyAlignment="1">
      <alignment shrinkToFit="1"/>
    </xf>
    <xf numFmtId="0" fontId="6" fillId="0" borderId="21" xfId="0" applyFont="1" applyFill="1" applyBorder="1" applyAlignment="1" applyProtection="1">
      <alignment shrinkToFit="1"/>
      <protection locked="0"/>
    </xf>
    <xf numFmtId="0" fontId="6" fillId="3" borderId="14" xfId="0" applyFont="1" applyFill="1" applyBorder="1" applyAlignment="1" applyProtection="1">
      <alignment horizontal="centerContinuous"/>
      <protection locked="0"/>
    </xf>
    <xf numFmtId="38" fontId="5" fillId="3" borderId="0" xfId="0" applyNumberFormat="1" applyFont="1" applyFill="1" applyBorder="1" applyAlignment="1">
      <alignment/>
    </xf>
    <xf numFmtId="178" fontId="5" fillId="3" borderId="0" xfId="15" applyNumberFormat="1" applyFont="1" applyFill="1" applyBorder="1" applyAlignment="1">
      <alignment/>
    </xf>
    <xf numFmtId="40" fontId="6" fillId="3" borderId="10" xfId="16" applyNumberFormat="1" applyFont="1" applyFill="1" applyBorder="1" applyAlignment="1">
      <alignment/>
    </xf>
    <xf numFmtId="178" fontId="6" fillId="3" borderId="0" xfId="15" applyNumberFormat="1" applyFont="1" applyFill="1" applyBorder="1" applyAlignment="1">
      <alignment/>
    </xf>
    <xf numFmtId="177" fontId="6" fillId="3" borderId="0" xfId="15" applyNumberFormat="1" applyFont="1" applyFill="1" applyBorder="1" applyAlignment="1">
      <alignment/>
    </xf>
    <xf numFmtId="1" fontId="6" fillId="3" borderId="0" xfId="15" applyNumberFormat="1" applyFont="1" applyFill="1" applyBorder="1" applyAlignment="1">
      <alignment/>
    </xf>
    <xf numFmtId="187" fontId="5" fillId="3" borderId="0" xfId="16" applyNumberFormat="1" applyFont="1" applyFill="1" applyBorder="1" applyAlignment="1" applyProtection="1">
      <alignment/>
      <protection locked="0"/>
    </xf>
    <xf numFmtId="0" fontId="6" fillId="3" borderId="14" xfId="0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181" fontId="6" fillId="3" borderId="38" xfId="16" applyNumberFormat="1" applyFont="1" applyFill="1" applyBorder="1" applyAlignment="1" applyProtection="1">
      <alignment horizontal="right"/>
      <protection locked="0"/>
    </xf>
    <xf numFmtId="0" fontId="6" fillId="0" borderId="3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38" fontId="6" fillId="0" borderId="8" xfId="0" applyNumberFormat="1" applyFont="1" applyFill="1" applyBorder="1" applyAlignment="1" applyProtection="1">
      <alignment/>
      <protection locked="0"/>
    </xf>
    <xf numFmtId="178" fontId="6" fillId="0" borderId="0" xfId="15" applyNumberFormat="1" applyFont="1" applyFill="1" applyBorder="1" applyAlignment="1">
      <alignment/>
    </xf>
    <xf numFmtId="177" fontId="6" fillId="0" borderId="0" xfId="15" applyNumberFormat="1" applyFont="1" applyFill="1" applyBorder="1" applyAlignment="1">
      <alignment/>
    </xf>
    <xf numFmtId="1" fontId="6" fillId="0" borderId="0" xfId="15" applyNumberFormat="1" applyFont="1" applyFill="1" applyBorder="1" applyAlignment="1">
      <alignment/>
    </xf>
    <xf numFmtId="38" fontId="5" fillId="0" borderId="38" xfId="16" applyFont="1" applyFill="1" applyBorder="1" applyAlignment="1">
      <alignment/>
    </xf>
    <xf numFmtId="184" fontId="6" fillId="0" borderId="34" xfId="16" applyNumberFormat="1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locked="0"/>
    </xf>
    <xf numFmtId="184" fontId="5" fillId="0" borderId="2" xfId="16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9" fillId="0" borderId="15" xfId="0" applyFont="1" applyFill="1" applyBorder="1" applyAlignment="1" applyProtection="1">
      <alignment horizontal="centerContinuous"/>
      <protection locked="0"/>
    </xf>
    <xf numFmtId="0" fontId="6" fillId="0" borderId="17" xfId="0" applyFont="1" applyFill="1" applyBorder="1" applyAlignment="1" applyProtection="1">
      <alignment horizontal="centerContinuous"/>
      <protection locked="0"/>
    </xf>
    <xf numFmtId="0" fontId="6" fillId="3" borderId="6" xfId="0" applyFont="1" applyFill="1" applyBorder="1" applyAlignment="1" applyProtection="1">
      <alignment/>
      <protection locked="0"/>
    </xf>
    <xf numFmtId="0" fontId="6" fillId="3" borderId="7" xfId="0" applyFont="1" applyFill="1" applyBorder="1" applyAlignment="1" applyProtection="1">
      <alignment/>
      <protection locked="0"/>
    </xf>
    <xf numFmtId="0" fontId="6" fillId="3" borderId="28" xfId="0" applyFont="1" applyFill="1" applyBorder="1" applyAlignment="1">
      <alignment/>
    </xf>
    <xf numFmtId="184" fontId="5" fillId="3" borderId="7" xfId="16" applyNumberFormat="1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 quotePrefix="1">
      <alignment horizontal="left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32" xfId="0" applyFont="1" applyFill="1" applyBorder="1" applyAlignment="1">
      <alignment/>
    </xf>
    <xf numFmtId="0" fontId="6" fillId="3" borderId="0" xfId="0" applyFont="1" applyFill="1" applyBorder="1" applyAlignment="1" applyProtection="1">
      <alignment horizontal="centerContinuous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6" fillId="3" borderId="21" xfId="0" applyFont="1" applyFill="1" applyBorder="1" applyAlignment="1" applyProtection="1">
      <alignment horizontal="centerContinuous"/>
      <protection locked="0"/>
    </xf>
    <xf numFmtId="0" fontId="6" fillId="3" borderId="16" xfId="0" applyFont="1" applyFill="1" applyBorder="1" applyAlignment="1" applyProtection="1">
      <alignment horizontal="centerContinuous"/>
      <protection locked="0"/>
    </xf>
    <xf numFmtId="178" fontId="5" fillId="3" borderId="3" xfId="0" applyNumberFormat="1" applyFont="1" applyFill="1" applyBorder="1" applyAlignment="1" applyProtection="1">
      <alignment/>
      <protection locked="0"/>
    </xf>
    <xf numFmtId="200" fontId="5" fillId="3" borderId="1" xfId="0" applyNumberFormat="1" applyFont="1" applyFill="1" applyBorder="1" applyAlignment="1">
      <alignment/>
    </xf>
    <xf numFmtId="0" fontId="6" fillId="0" borderId="40" xfId="0" applyFont="1" applyFill="1" applyBorder="1" applyAlignment="1">
      <alignment/>
    </xf>
    <xf numFmtId="38" fontId="5" fillId="0" borderId="19" xfId="0" applyNumberFormat="1" applyFont="1" applyFill="1" applyBorder="1" applyAlignment="1" applyProtection="1">
      <alignment/>
      <protection locked="0"/>
    </xf>
    <xf numFmtId="178" fontId="5" fillId="0" borderId="19" xfId="15" applyNumberFormat="1" applyFont="1" applyFill="1" applyBorder="1" applyAlignment="1" applyProtection="1">
      <alignment/>
      <protection locked="0"/>
    </xf>
    <xf numFmtId="40" fontId="6" fillId="0" borderId="19" xfId="16" applyNumberFormat="1" applyFont="1" applyFill="1" applyBorder="1" applyAlignment="1">
      <alignment/>
    </xf>
    <xf numFmtId="178" fontId="6" fillId="0" borderId="19" xfId="15" applyNumberFormat="1" applyFont="1" applyFill="1" applyBorder="1" applyAlignment="1">
      <alignment/>
    </xf>
    <xf numFmtId="177" fontId="6" fillId="0" borderId="19" xfId="15" applyNumberFormat="1" applyFont="1" applyFill="1" applyBorder="1" applyAlignment="1">
      <alignment/>
    </xf>
    <xf numFmtId="1" fontId="6" fillId="0" borderId="19" xfId="15" applyNumberFormat="1" applyFont="1" applyFill="1" applyBorder="1" applyAlignment="1">
      <alignment/>
    </xf>
    <xf numFmtId="187" fontId="5" fillId="0" borderId="19" xfId="16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top" textRotation="255"/>
    </xf>
    <xf numFmtId="38" fontId="6" fillId="0" borderId="10" xfId="16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38" fontId="6" fillId="2" borderId="0" xfId="0" applyNumberFormat="1" applyFont="1" applyFill="1" applyAlignment="1">
      <alignment/>
    </xf>
    <xf numFmtId="38" fontId="6" fillId="2" borderId="34" xfId="16" applyFont="1" applyFill="1" applyBorder="1" applyAlignment="1">
      <alignment/>
    </xf>
    <xf numFmtId="187" fontId="5" fillId="0" borderId="39" xfId="16" applyNumberFormat="1" applyFont="1" applyFill="1" applyBorder="1" applyAlignment="1" applyProtection="1">
      <alignment/>
      <protection locked="0"/>
    </xf>
    <xf numFmtId="187" fontId="5" fillId="0" borderId="41" xfId="16" applyNumberFormat="1" applyFont="1" applyFill="1" applyBorder="1" applyAlignment="1" applyProtection="1">
      <alignment/>
      <protection locked="0"/>
    </xf>
    <xf numFmtId="38" fontId="6" fillId="0" borderId="26" xfId="16" applyFont="1" applyFill="1" applyBorder="1" applyAlignment="1" applyProtection="1">
      <alignment/>
      <protection locked="0"/>
    </xf>
    <xf numFmtId="181" fontId="5" fillId="0" borderId="42" xfId="16" applyNumberFormat="1" applyFont="1" applyFill="1" applyBorder="1" applyAlignment="1">
      <alignment/>
    </xf>
    <xf numFmtId="178" fontId="5" fillId="0" borderId="30" xfId="15" applyNumberFormat="1" applyFont="1" applyFill="1" applyBorder="1" applyAlignment="1">
      <alignment/>
    </xf>
    <xf numFmtId="38" fontId="14" fillId="0" borderId="15" xfId="16" applyFont="1" applyFill="1" applyBorder="1" applyAlignment="1" applyProtection="1">
      <alignment/>
      <protection locked="0"/>
    </xf>
    <xf numFmtId="38" fontId="14" fillId="3" borderId="15" xfId="16" applyFont="1" applyFill="1" applyBorder="1" applyAlignment="1" applyProtection="1">
      <alignment/>
      <protection locked="0"/>
    </xf>
    <xf numFmtId="181" fontId="6" fillId="0" borderId="23" xfId="16" applyNumberFormat="1" applyFont="1" applyFill="1" applyBorder="1" applyAlignment="1" applyProtection="1">
      <alignment horizontal="right"/>
      <protection locked="0"/>
    </xf>
    <xf numFmtId="181" fontId="6" fillId="0" borderId="27" xfId="16" applyNumberFormat="1" applyFont="1" applyFill="1" applyBorder="1" applyAlignment="1" applyProtection="1">
      <alignment horizontal="right"/>
      <protection locked="0"/>
    </xf>
    <xf numFmtId="38" fontId="6" fillId="0" borderId="17" xfId="16" applyFont="1" applyFill="1" applyBorder="1" applyAlignment="1" applyProtection="1">
      <alignment horizontal="left"/>
      <protection locked="0"/>
    </xf>
    <xf numFmtId="38" fontId="6" fillId="0" borderId="20" xfId="16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>
      <alignment/>
    </xf>
    <xf numFmtId="0" fontId="9" fillId="0" borderId="14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/>
      <protection locked="0"/>
    </xf>
    <xf numFmtId="181" fontId="5" fillId="0" borderId="24" xfId="16" applyNumberFormat="1" applyFont="1" applyFill="1" applyBorder="1" applyAlignment="1">
      <alignment/>
    </xf>
    <xf numFmtId="38" fontId="6" fillId="2" borderId="0" xfId="16" applyFont="1" applyFill="1" applyBorder="1" applyAlignment="1">
      <alignment/>
    </xf>
    <xf numFmtId="187" fontId="5" fillId="0" borderId="37" xfId="16" applyNumberFormat="1" applyFont="1" applyFill="1" applyBorder="1" applyAlignment="1" applyProtection="1">
      <alignment/>
      <protection locked="0"/>
    </xf>
    <xf numFmtId="38" fontId="5" fillId="2" borderId="2" xfId="0" applyNumberFormat="1" applyFont="1" applyFill="1" applyBorder="1" applyAlignment="1">
      <alignment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43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38" fontId="14" fillId="0" borderId="3" xfId="16" applyFont="1" applyFill="1" applyBorder="1" applyAlignment="1" applyProtection="1">
      <alignment/>
      <protection locked="0"/>
    </xf>
    <xf numFmtId="0" fontId="14" fillId="0" borderId="1" xfId="0" applyFont="1" applyFill="1" applyBorder="1" applyAlignment="1">
      <alignment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/>
    </xf>
    <xf numFmtId="38" fontId="5" fillId="0" borderId="3" xfId="16" applyFont="1" applyFill="1" applyBorder="1" applyAlignment="1">
      <alignment/>
    </xf>
    <xf numFmtId="0" fontId="6" fillId="0" borderId="1" xfId="0" applyFont="1" applyFill="1" applyBorder="1" applyAlignment="1">
      <alignment/>
    </xf>
    <xf numFmtId="38" fontId="5" fillId="0" borderId="3" xfId="16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>
      <alignment/>
    </xf>
    <xf numFmtId="38" fontId="5" fillId="0" borderId="15" xfId="16" applyFont="1" applyFill="1" applyBorder="1" applyAlignment="1" applyProtection="1">
      <alignment/>
      <protection locked="0"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 applyProtection="1">
      <alignment/>
      <protection locked="0"/>
    </xf>
    <xf numFmtId="38" fontId="5" fillId="0" borderId="44" xfId="0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8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>
      <alignment/>
    </xf>
    <xf numFmtId="203" fontId="14" fillId="0" borderId="44" xfId="16" applyNumberFormat="1" applyFont="1" applyFill="1" applyBorder="1" applyAlignment="1" applyProtection="1">
      <alignment/>
      <protection locked="0"/>
    </xf>
    <xf numFmtId="203" fontId="14" fillId="0" borderId="45" xfId="16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>
      <alignment horizontal="center"/>
    </xf>
    <xf numFmtId="38" fontId="5" fillId="0" borderId="28" xfId="16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1" xfId="0" applyFont="1" applyFill="1" applyBorder="1" applyAlignment="1" applyProtection="1">
      <alignment horizontal="distributed"/>
      <protection locked="0"/>
    </xf>
    <xf numFmtId="0" fontId="6" fillId="0" borderId="4" xfId="0" applyFont="1" applyFill="1" applyBorder="1" applyAlignment="1">
      <alignment horizontal="distributed"/>
    </xf>
    <xf numFmtId="0" fontId="6" fillId="0" borderId="5" xfId="0" applyFont="1" applyFill="1" applyBorder="1" applyAlignment="1">
      <alignment horizontal="distributed"/>
    </xf>
    <xf numFmtId="0" fontId="6" fillId="0" borderId="46" xfId="0" applyFont="1" applyFill="1" applyBorder="1" applyAlignment="1">
      <alignment horizontal="distributed"/>
    </xf>
    <xf numFmtId="0" fontId="6" fillId="0" borderId="47" xfId="0" applyFont="1" applyFill="1" applyBorder="1" applyAlignment="1">
      <alignment horizontal="distributed"/>
    </xf>
    <xf numFmtId="0" fontId="6" fillId="0" borderId="48" xfId="0" applyFont="1" applyFill="1" applyBorder="1" applyAlignment="1">
      <alignment horizontal="distributed"/>
    </xf>
    <xf numFmtId="203" fontId="14" fillId="0" borderId="3" xfId="16" applyNumberFormat="1" applyFont="1" applyFill="1" applyBorder="1" applyAlignment="1" applyProtection="1">
      <alignment/>
      <protection locked="0"/>
    </xf>
    <xf numFmtId="203" fontId="14" fillId="0" borderId="1" xfId="16" applyNumberFormat="1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15" fillId="0" borderId="1" xfId="0" applyFont="1" applyBorder="1" applyAlignment="1">
      <alignment/>
    </xf>
    <xf numFmtId="0" fontId="6" fillId="0" borderId="50" xfId="0" applyFont="1" applyFill="1" applyBorder="1" applyAlignment="1" applyProtection="1">
      <alignment horizontal="center" vertical="top" textRotation="255" wrapText="1"/>
      <protection locked="0"/>
    </xf>
    <xf numFmtId="0" fontId="0" fillId="0" borderId="24" xfId="0" applyBorder="1" applyAlignment="1">
      <alignment horizontal="center" vertical="top" textRotation="255" wrapText="1"/>
    </xf>
    <xf numFmtId="0" fontId="0" fillId="0" borderId="30" xfId="0" applyBorder="1" applyAlignment="1">
      <alignment horizontal="center" vertical="top" textRotation="255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歳入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43</xdr:row>
      <xdr:rowOff>85725</xdr:rowOff>
    </xdr:from>
    <xdr:to>
      <xdr:col>2</xdr:col>
      <xdr:colOff>609600</xdr:colOff>
      <xdr:row>45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543050" y="88963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 outlineLevelRow="1" outlineLevelCol="1"/>
  <cols>
    <col min="1" max="1" width="2.625" style="3" customWidth="1"/>
    <col min="2" max="2" width="10.625" style="3" customWidth="1"/>
    <col min="3" max="3" width="8.25390625" style="3" customWidth="1"/>
    <col min="4" max="4" width="3.00390625" style="3" customWidth="1"/>
    <col min="5" max="5" width="12.00390625" style="3" customWidth="1"/>
    <col min="6" max="6" width="2.75390625" style="3" customWidth="1"/>
    <col min="7" max="7" width="10.625" style="3" customWidth="1"/>
    <col min="8" max="8" width="3.375" style="3" customWidth="1"/>
    <col min="9" max="9" width="2.375" style="3" customWidth="1"/>
    <col min="10" max="10" width="4.625" style="3" customWidth="1"/>
    <col min="11" max="12" width="6.625" style="3" customWidth="1"/>
    <col min="13" max="13" width="10.625" style="3" customWidth="1"/>
    <col min="14" max="14" width="18.625" style="3" customWidth="1"/>
    <col min="15" max="15" width="10.75390625" style="3" customWidth="1"/>
    <col min="16" max="16" width="7.375" style="3" customWidth="1"/>
    <col min="17" max="17" width="5.875" style="3" hidden="1" customWidth="1" outlineLevel="1"/>
    <col min="18" max="22" width="7.00390625" style="3" hidden="1" customWidth="1" outlineLevel="1"/>
    <col min="23" max="23" width="13.00390625" style="3" hidden="1" customWidth="1" outlineLevel="1"/>
    <col min="24" max="24" width="9.125" style="3" customWidth="1" collapsed="1"/>
    <col min="25" max="25" width="13.75390625" style="3" customWidth="1"/>
    <col min="26" max="26" width="13.00390625" style="3" customWidth="1"/>
    <col min="27" max="27" width="10.625" style="3" customWidth="1"/>
    <col min="28" max="28" width="8.125" style="3" customWidth="1"/>
    <col min="29" max="29" width="13.75390625" style="3" customWidth="1"/>
    <col min="30" max="30" width="5.625" style="3" customWidth="1"/>
    <col min="31" max="31" width="6.375" style="3" customWidth="1"/>
    <col min="32" max="32" width="11.375" style="3" hidden="1" customWidth="1" outlineLevel="1"/>
    <col min="33" max="37" width="9.00390625" style="3" hidden="1" customWidth="1" outlineLevel="1"/>
    <col min="38" max="38" width="9.00390625" style="3" customWidth="1" collapsed="1"/>
    <col min="39" max="39" width="10.25390625" style="3" bestFit="1" customWidth="1"/>
    <col min="40" max="16384" width="9.00390625" style="3" customWidth="1"/>
  </cols>
  <sheetData>
    <row r="1" spans="1:31" ht="18.75">
      <c r="A1" s="149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5:31" ht="15" customHeight="1" thickBot="1">
      <c r="E2" s="4"/>
      <c r="Z2" s="5"/>
      <c r="AA2" s="5" t="s">
        <v>0</v>
      </c>
      <c r="AB2" s="5"/>
      <c r="AC2" s="6" t="s">
        <v>1</v>
      </c>
      <c r="AD2" s="7"/>
      <c r="AE2" s="8"/>
    </row>
    <row r="3" spans="1:31" ht="16.5" customHeight="1">
      <c r="A3" s="9" t="s">
        <v>2</v>
      </c>
      <c r="B3" s="10"/>
      <c r="C3" s="10"/>
      <c r="D3" s="10"/>
      <c r="E3" s="11"/>
      <c r="F3" s="12"/>
      <c r="G3" s="13"/>
      <c r="H3" s="14"/>
      <c r="I3" s="15"/>
      <c r="J3" s="13"/>
      <c r="K3" s="13"/>
      <c r="L3" s="12"/>
      <c r="M3" s="14"/>
      <c r="N3" s="9" t="s">
        <v>182</v>
      </c>
      <c r="O3" s="10"/>
      <c r="P3" s="10"/>
      <c r="Q3" s="17"/>
      <c r="R3" s="17"/>
      <c r="S3" s="17"/>
      <c r="T3" s="17"/>
      <c r="U3" s="17"/>
      <c r="V3" s="17"/>
      <c r="W3" s="17"/>
      <c r="X3" s="10"/>
      <c r="Y3" s="18"/>
      <c r="Z3" s="16"/>
      <c r="AA3" s="10" t="s">
        <v>3</v>
      </c>
      <c r="AB3" s="10"/>
      <c r="AC3" s="10"/>
      <c r="AD3" s="10"/>
      <c r="AE3" s="18"/>
    </row>
    <row r="4" spans="1:38" ht="16.5" customHeight="1" thickBot="1">
      <c r="A4" s="19" t="s">
        <v>4</v>
      </c>
      <c r="B4" s="20">
        <v>17</v>
      </c>
      <c r="C4" s="21">
        <v>67448</v>
      </c>
      <c r="D4" s="22" t="s">
        <v>5</v>
      </c>
      <c r="E4" s="20" t="s">
        <v>6</v>
      </c>
      <c r="F4" s="23"/>
      <c r="G4" s="24">
        <v>9.06</v>
      </c>
      <c r="H4" s="25" t="s">
        <v>7</v>
      </c>
      <c r="I4" s="26" t="s">
        <v>8</v>
      </c>
      <c r="J4" s="27"/>
      <c r="K4" s="27"/>
      <c r="L4" s="28" t="s">
        <v>9</v>
      </c>
      <c r="M4" s="29"/>
      <c r="N4" s="30" t="s">
        <v>10</v>
      </c>
      <c r="O4" s="20" t="s">
        <v>11</v>
      </c>
      <c r="P4" s="31" t="s">
        <v>12</v>
      </c>
      <c r="Q4" s="32" t="s">
        <v>12</v>
      </c>
      <c r="R4" s="32" t="s">
        <v>12</v>
      </c>
      <c r="S4" s="33" t="s">
        <v>13</v>
      </c>
      <c r="T4" s="33" t="s">
        <v>14</v>
      </c>
      <c r="U4" s="33" t="s">
        <v>15</v>
      </c>
      <c r="V4" s="33" t="s">
        <v>15</v>
      </c>
      <c r="W4" s="33" t="s">
        <v>165</v>
      </c>
      <c r="X4" s="24" t="s">
        <v>16</v>
      </c>
      <c r="Y4" s="34" t="s">
        <v>17</v>
      </c>
      <c r="Z4" s="30" t="s">
        <v>10</v>
      </c>
      <c r="AA4" s="20" t="s">
        <v>11</v>
      </c>
      <c r="AB4" s="20" t="s">
        <v>12</v>
      </c>
      <c r="AC4" s="35" t="s">
        <v>17</v>
      </c>
      <c r="AD4" s="249" t="s">
        <v>18</v>
      </c>
      <c r="AE4" s="250"/>
      <c r="AF4" s="32" t="s">
        <v>12</v>
      </c>
      <c r="AG4" s="32" t="s">
        <v>12</v>
      </c>
      <c r="AH4" s="33" t="s">
        <v>13</v>
      </c>
      <c r="AI4" s="33" t="s">
        <v>14</v>
      </c>
      <c r="AJ4" s="33" t="s">
        <v>15</v>
      </c>
      <c r="AK4" s="33" t="s">
        <v>15</v>
      </c>
      <c r="AL4" s="36"/>
    </row>
    <row r="5" spans="1:38" ht="16.5" customHeight="1">
      <c r="A5" s="19"/>
      <c r="B5" s="20">
        <v>12</v>
      </c>
      <c r="C5" s="21">
        <v>65076</v>
      </c>
      <c r="D5" s="22" t="s">
        <v>5</v>
      </c>
      <c r="E5" s="37" t="s">
        <v>19</v>
      </c>
      <c r="F5" s="20">
        <v>17</v>
      </c>
      <c r="G5" s="38">
        <f>C4/G4</f>
        <v>7444.591611479028</v>
      </c>
      <c r="H5" s="39"/>
      <c r="I5" s="9" t="s">
        <v>20</v>
      </c>
      <c r="J5" s="10"/>
      <c r="K5" s="10"/>
      <c r="L5" s="10"/>
      <c r="M5" s="18"/>
      <c r="N5" s="40" t="s">
        <v>21</v>
      </c>
      <c r="O5" s="41">
        <v>9963718</v>
      </c>
      <c r="P5" s="42">
        <f aca="true" t="shared" si="0" ref="P5:P14">IF(Q$29&lt;100,(IF(U5&lt;=Q$30,ROUNDUP(R5,1),Q5)),(IF(V5&lt;=Q$30,ROUNDDOWN(R5,1),Q5)))</f>
        <v>57.7</v>
      </c>
      <c r="Q5" s="43">
        <f aca="true" t="shared" si="1" ref="Q5:Q26">ROUND(O5/O$29*100,1)</f>
        <v>57.7</v>
      </c>
      <c r="R5" s="44">
        <f aca="true" t="shared" si="2" ref="R5:R26">(O5/O$29*100)</f>
        <v>57.70735911279664</v>
      </c>
      <c r="S5" s="44">
        <f aca="true" t="shared" si="3" ref="S5:S14">Q5-R5</f>
        <v>-0.007359112796635259</v>
      </c>
      <c r="T5" s="44">
        <f aca="true" t="shared" si="4" ref="T5:T14">IF(S5&gt;0,"",ABS(S5))</f>
        <v>0.007359112796635259</v>
      </c>
      <c r="U5" s="45">
        <f aca="true" t="shared" si="5" ref="U5:U14">IF(T5="","",RANK(T5,T$5:T$26))</f>
        <v>11</v>
      </c>
      <c r="V5" s="45">
        <f aca="true" t="shared" si="6" ref="V5:V14">RANK(S5,S$5:S$26)</f>
        <v>11</v>
      </c>
      <c r="W5" s="151">
        <v>9390102</v>
      </c>
      <c r="X5" s="46">
        <f>ROUND((O5-W5)/W5*100,1)</f>
        <v>6.1</v>
      </c>
      <c r="Y5" s="47">
        <f aca="true" t="shared" si="7" ref="Y5:Y26">O5/$C$7*1000</f>
        <v>147335.61056398426</v>
      </c>
      <c r="Z5" s="40" t="s">
        <v>22</v>
      </c>
      <c r="AA5" s="41">
        <v>187291</v>
      </c>
      <c r="AB5" s="42">
        <f aca="true" t="shared" si="8" ref="AB5:AB14">IF(AF$27&lt;100,(IF(AJ5&lt;=AF$28,ROUNDUP(AG5,1),AF5)),(IF(AK5&lt;=AF$28,ROUNDDOWN(AG5,1),AF5)))</f>
        <v>1.1</v>
      </c>
      <c r="AC5" s="48">
        <f aca="true" t="shared" si="9" ref="AC5:AC17">AA5/$C$7*1000</f>
        <v>2769.511726259131</v>
      </c>
      <c r="AD5" s="247">
        <v>187291</v>
      </c>
      <c r="AE5" s="248"/>
      <c r="AF5" s="43">
        <f aca="true" t="shared" si="10" ref="AF5:AF19">ROUND(AA5/AA$27*100,1)</f>
        <v>1.1</v>
      </c>
      <c r="AG5" s="44">
        <f aca="true" t="shared" si="11" ref="AG5:AG19">(AA5/AA$27*100)</f>
        <v>1.1370435192902661</v>
      </c>
      <c r="AH5" s="44">
        <f aca="true" t="shared" si="12" ref="AH5:AH19">AF5-AG5</f>
        <v>-0.03704351929026606</v>
      </c>
      <c r="AI5" s="44">
        <f aca="true" t="shared" si="13" ref="AI5:AI19">IF(AH5&gt;0,"",ABS(AH5))</f>
        <v>0.03704351929026606</v>
      </c>
      <c r="AJ5" s="45">
        <f aca="true" t="shared" si="14" ref="AJ5:AJ19">IF(AI5="","",RANK(AI5,AI$5:AI$26))</f>
        <v>2</v>
      </c>
      <c r="AK5" s="45">
        <f aca="true" t="shared" si="15" ref="AK5:AK19">RANK(AH5,AH$5:AH$26)</f>
        <v>14</v>
      </c>
      <c r="AL5" s="49"/>
    </row>
    <row r="6" spans="1:37" ht="16.5" customHeight="1">
      <c r="A6" s="50" t="s">
        <v>23</v>
      </c>
      <c r="B6" s="20" t="s">
        <v>24</v>
      </c>
      <c r="C6" s="51">
        <f>(C4-C5)/C4*100</f>
        <v>3.516783299727197</v>
      </c>
      <c r="D6" s="22" t="s">
        <v>25</v>
      </c>
      <c r="E6" s="52" t="s">
        <v>26</v>
      </c>
      <c r="F6" s="20">
        <v>12</v>
      </c>
      <c r="G6" s="38">
        <f>C5/G4</f>
        <v>7182.781456953642</v>
      </c>
      <c r="H6" s="39"/>
      <c r="I6" s="53" t="s">
        <v>27</v>
      </c>
      <c r="J6" s="54"/>
      <c r="K6" s="23" t="s">
        <v>28</v>
      </c>
      <c r="L6" s="20" t="s">
        <v>29</v>
      </c>
      <c r="M6" s="55" t="s">
        <v>30</v>
      </c>
      <c r="N6" s="40" t="s">
        <v>31</v>
      </c>
      <c r="O6" s="21">
        <v>554137</v>
      </c>
      <c r="P6" s="42">
        <f t="shared" si="0"/>
        <v>3.2</v>
      </c>
      <c r="Q6" s="43">
        <f t="shared" si="1"/>
        <v>3.2</v>
      </c>
      <c r="R6" s="44">
        <f t="shared" si="2"/>
        <v>3.2094227131566537</v>
      </c>
      <c r="S6" s="44">
        <f t="shared" si="3"/>
        <v>-0.00942271315665355</v>
      </c>
      <c r="T6" s="44">
        <f t="shared" si="4"/>
        <v>0.00942271315665355</v>
      </c>
      <c r="U6" s="45">
        <f t="shared" si="5"/>
        <v>10</v>
      </c>
      <c r="V6" s="45">
        <f t="shared" si="6"/>
        <v>12</v>
      </c>
      <c r="W6" s="151">
        <v>374807</v>
      </c>
      <c r="X6" s="46">
        <f>ROUND((O6-W6)/W6*100,1)</f>
        <v>47.8</v>
      </c>
      <c r="Y6" s="47">
        <f t="shared" si="7"/>
        <v>8194.141306598054</v>
      </c>
      <c r="Z6" s="40" t="s">
        <v>32</v>
      </c>
      <c r="AA6" s="41">
        <v>3358774</v>
      </c>
      <c r="AB6" s="42">
        <f t="shared" si="8"/>
        <v>20.4</v>
      </c>
      <c r="AC6" s="48">
        <f t="shared" si="9"/>
        <v>49666.90326205897</v>
      </c>
      <c r="AD6" s="247">
        <v>3027172</v>
      </c>
      <c r="AE6" s="248"/>
      <c r="AF6" s="43">
        <f t="shared" si="10"/>
        <v>20.4</v>
      </c>
      <c r="AG6" s="44">
        <f t="shared" si="11"/>
        <v>20.391114412655412</v>
      </c>
      <c r="AH6" s="44">
        <f t="shared" si="12"/>
        <v>0.008885587344586554</v>
      </c>
      <c r="AI6" s="44">
        <f t="shared" si="13"/>
      </c>
      <c r="AJ6" s="45">
        <f t="shared" si="14"/>
      </c>
      <c r="AK6" s="45">
        <f t="shared" si="15"/>
        <v>4</v>
      </c>
    </row>
    <row r="7" spans="1:37" ht="16.5" customHeight="1">
      <c r="A7" s="19" t="s">
        <v>33</v>
      </c>
      <c r="B7" s="56">
        <v>39172</v>
      </c>
      <c r="C7" s="21">
        <v>67626</v>
      </c>
      <c r="D7" s="22" t="s">
        <v>5</v>
      </c>
      <c r="E7" s="37" t="s">
        <v>34</v>
      </c>
      <c r="F7" s="20">
        <v>17</v>
      </c>
      <c r="G7" s="57">
        <v>66948</v>
      </c>
      <c r="H7" s="58" t="s">
        <v>5</v>
      </c>
      <c r="I7" s="19" t="s">
        <v>35</v>
      </c>
      <c r="J7" s="59" t="s">
        <v>202</v>
      </c>
      <c r="K7" s="23">
        <v>259</v>
      </c>
      <c r="L7" s="21">
        <v>8464</v>
      </c>
      <c r="M7" s="60">
        <v>24871</v>
      </c>
      <c r="N7" s="40" t="s">
        <v>36</v>
      </c>
      <c r="O7" s="21">
        <v>35097</v>
      </c>
      <c r="P7" s="42">
        <f t="shared" si="0"/>
        <v>0.2</v>
      </c>
      <c r="Q7" s="43">
        <f t="shared" si="1"/>
        <v>0.2</v>
      </c>
      <c r="R7" s="44">
        <f t="shared" si="2"/>
        <v>0.20327303349832096</v>
      </c>
      <c r="S7" s="44">
        <f t="shared" si="3"/>
        <v>-0.0032730334983209486</v>
      </c>
      <c r="T7" s="44">
        <f t="shared" si="4"/>
        <v>0.0032730334983209486</v>
      </c>
      <c r="U7" s="45">
        <f t="shared" si="5"/>
        <v>14</v>
      </c>
      <c r="V7" s="45">
        <f t="shared" si="6"/>
        <v>8</v>
      </c>
      <c r="W7" s="151">
        <v>52840</v>
      </c>
      <c r="X7" s="46">
        <f>ROUND((O7-W7)/W7*100,1)</f>
        <v>-33.6</v>
      </c>
      <c r="Y7" s="47">
        <f t="shared" si="7"/>
        <v>518.986780232455</v>
      </c>
      <c r="Z7" s="40" t="s">
        <v>37</v>
      </c>
      <c r="AA7" s="41">
        <v>5041383</v>
      </c>
      <c r="AB7" s="42">
        <f t="shared" si="8"/>
        <v>30.6</v>
      </c>
      <c r="AC7" s="48">
        <f t="shared" si="9"/>
        <v>74547.99929021382</v>
      </c>
      <c r="AD7" s="247">
        <v>3414698</v>
      </c>
      <c r="AE7" s="248"/>
      <c r="AF7" s="43">
        <f t="shared" si="10"/>
        <v>30.6</v>
      </c>
      <c r="AG7" s="44">
        <f t="shared" si="11"/>
        <v>30.606232378545258</v>
      </c>
      <c r="AH7" s="44">
        <f t="shared" si="12"/>
        <v>-0.0062323785452562674</v>
      </c>
      <c r="AI7" s="44">
        <f t="shared" si="13"/>
        <v>0.0062323785452562674</v>
      </c>
      <c r="AJ7" s="45">
        <f t="shared" si="14"/>
        <v>7</v>
      </c>
      <c r="AK7" s="45">
        <f t="shared" si="15"/>
        <v>9</v>
      </c>
    </row>
    <row r="8" spans="1:37" ht="16.5" customHeight="1">
      <c r="A8" s="19" t="s">
        <v>38</v>
      </c>
      <c r="B8" s="56">
        <v>38807</v>
      </c>
      <c r="C8" s="21">
        <v>67047</v>
      </c>
      <c r="D8" s="22" t="s">
        <v>5</v>
      </c>
      <c r="E8" s="20" t="s">
        <v>39</v>
      </c>
      <c r="F8" s="20">
        <v>12</v>
      </c>
      <c r="G8" s="57">
        <v>64655</v>
      </c>
      <c r="H8" s="58" t="s">
        <v>5</v>
      </c>
      <c r="I8" s="19" t="s">
        <v>40</v>
      </c>
      <c r="J8" s="61" t="s">
        <v>41</v>
      </c>
      <c r="K8" s="62">
        <f>K7/SUM(K7:M7)</f>
        <v>0.007709710067273918</v>
      </c>
      <c r="L8" s="62">
        <f>L7/SUM(K7:M7)</f>
        <v>0.2519497529320712</v>
      </c>
      <c r="M8" s="63">
        <f>M7/SUM(K7:M7)</f>
        <v>0.7403405370006548</v>
      </c>
      <c r="N8" s="40" t="s">
        <v>174</v>
      </c>
      <c r="O8" s="21">
        <v>41972</v>
      </c>
      <c r="P8" s="42">
        <f t="shared" si="0"/>
        <v>0.30000000000000004</v>
      </c>
      <c r="Q8" s="43">
        <f t="shared" si="1"/>
        <v>0.2</v>
      </c>
      <c r="R8" s="44">
        <f t="shared" si="2"/>
        <v>0.24309131156484962</v>
      </c>
      <c r="S8" s="44">
        <f t="shared" si="3"/>
        <v>-0.043091311564849605</v>
      </c>
      <c r="T8" s="44">
        <f t="shared" si="4"/>
        <v>0.043091311564849605</v>
      </c>
      <c r="U8" s="45">
        <f t="shared" si="5"/>
        <v>1</v>
      </c>
      <c r="V8" s="45">
        <f t="shared" si="6"/>
        <v>21</v>
      </c>
      <c r="W8" s="151">
        <v>28416</v>
      </c>
      <c r="X8" s="46">
        <f>ROUND((O8-W8)/W8*100,1)</f>
        <v>47.7</v>
      </c>
      <c r="Y8" s="47">
        <f t="shared" si="7"/>
        <v>620.6488628633957</v>
      </c>
      <c r="Z8" s="40" t="s">
        <v>43</v>
      </c>
      <c r="AA8" s="41">
        <v>1342024</v>
      </c>
      <c r="AB8" s="42">
        <f t="shared" si="8"/>
        <v>8.2</v>
      </c>
      <c r="AC8" s="48">
        <f t="shared" si="9"/>
        <v>19844.793422648094</v>
      </c>
      <c r="AD8" s="247">
        <v>1264841</v>
      </c>
      <c r="AE8" s="248"/>
      <c r="AF8" s="43">
        <f t="shared" si="10"/>
        <v>8.1</v>
      </c>
      <c r="AG8" s="44">
        <f t="shared" si="11"/>
        <v>8.147426688586211</v>
      </c>
      <c r="AH8" s="44">
        <f t="shared" si="12"/>
        <v>-0.047426688586211796</v>
      </c>
      <c r="AI8" s="44">
        <f t="shared" si="13"/>
        <v>0.047426688586211796</v>
      </c>
      <c r="AJ8" s="45">
        <f t="shared" si="14"/>
        <v>1</v>
      </c>
      <c r="AK8" s="45">
        <f t="shared" si="15"/>
        <v>15</v>
      </c>
    </row>
    <row r="9" spans="1:37" ht="16.5" customHeight="1">
      <c r="A9" s="19" t="s">
        <v>44</v>
      </c>
      <c r="B9" s="11"/>
      <c r="C9" s="11"/>
      <c r="D9" s="64"/>
      <c r="E9" s="65">
        <f>B7</f>
        <v>39172</v>
      </c>
      <c r="F9" s="11"/>
      <c r="G9" s="66"/>
      <c r="H9" s="67"/>
      <c r="I9" s="19" t="s">
        <v>5</v>
      </c>
      <c r="J9" s="59" t="s">
        <v>201</v>
      </c>
      <c r="K9" s="23">
        <v>252</v>
      </c>
      <c r="L9" s="21">
        <v>9674</v>
      </c>
      <c r="M9" s="60">
        <v>22667</v>
      </c>
      <c r="N9" s="164" t="s">
        <v>175</v>
      </c>
      <c r="O9" s="21">
        <v>34333</v>
      </c>
      <c r="P9" s="42">
        <f t="shared" si="0"/>
        <v>0.2</v>
      </c>
      <c r="Q9" s="43">
        <f t="shared" si="1"/>
        <v>0.2</v>
      </c>
      <c r="R9" s="44">
        <f t="shared" si="2"/>
        <v>0.19884813685209146</v>
      </c>
      <c r="S9" s="44">
        <f t="shared" si="3"/>
        <v>0.0011518631479085495</v>
      </c>
      <c r="T9" s="44">
        <f t="shared" si="4"/>
      </c>
      <c r="U9" s="45">
        <f t="shared" si="5"/>
      </c>
      <c r="V9" s="45">
        <f t="shared" si="6"/>
        <v>6</v>
      </c>
      <c r="W9" s="151">
        <v>43321</v>
      </c>
      <c r="X9" s="46">
        <f>ROUND((O9-W9)/W9*100,1)</f>
        <v>-20.7</v>
      </c>
      <c r="Y9" s="47">
        <f t="shared" si="7"/>
        <v>507.6893502499039</v>
      </c>
      <c r="Z9" s="40" t="s">
        <v>45</v>
      </c>
      <c r="AA9" s="41">
        <v>19767</v>
      </c>
      <c r="AB9" s="42">
        <f t="shared" si="8"/>
        <v>0.1</v>
      </c>
      <c r="AC9" s="48">
        <f t="shared" si="9"/>
        <v>292.2988199804809</v>
      </c>
      <c r="AD9" s="247">
        <v>19767</v>
      </c>
      <c r="AE9" s="248"/>
      <c r="AF9" s="43">
        <f t="shared" si="10"/>
        <v>0.1</v>
      </c>
      <c r="AG9" s="44">
        <f t="shared" si="11"/>
        <v>0.12000544204372177</v>
      </c>
      <c r="AH9" s="44">
        <f t="shared" si="12"/>
        <v>-0.02000544204372176</v>
      </c>
      <c r="AI9" s="44">
        <f t="shared" si="13"/>
        <v>0.02000544204372176</v>
      </c>
      <c r="AJ9" s="45">
        <f t="shared" si="14"/>
        <v>4</v>
      </c>
      <c r="AK9" s="45">
        <f t="shared" si="15"/>
        <v>12</v>
      </c>
    </row>
    <row r="10" spans="1:37" ht="16.5" customHeight="1" thickBot="1">
      <c r="A10" s="68" t="s">
        <v>46</v>
      </c>
      <c r="B10" s="69" t="s">
        <v>24</v>
      </c>
      <c r="C10" s="70">
        <f>(C7-C8)/C8*100</f>
        <v>0.8635733142422479</v>
      </c>
      <c r="D10" s="71" t="s">
        <v>25</v>
      </c>
      <c r="E10" s="69" t="s">
        <v>47</v>
      </c>
      <c r="F10" s="72"/>
      <c r="G10" s="73">
        <v>27799</v>
      </c>
      <c r="H10" s="74"/>
      <c r="I10" s="68" t="s">
        <v>48</v>
      </c>
      <c r="J10" s="59" t="s">
        <v>41</v>
      </c>
      <c r="K10" s="75">
        <f>K9/SUM(K9:M9)</f>
        <v>0.0077317215352989905</v>
      </c>
      <c r="L10" s="75">
        <f>L9/SUM(K9:M9)</f>
        <v>0.29681219893842237</v>
      </c>
      <c r="M10" s="76">
        <f>M9/SUM(K9:M9)</f>
        <v>0.6954560795262786</v>
      </c>
      <c r="N10" s="40" t="s">
        <v>42</v>
      </c>
      <c r="O10" s="21">
        <v>517946</v>
      </c>
      <c r="P10" s="42">
        <f t="shared" si="0"/>
        <v>3</v>
      </c>
      <c r="Q10" s="43">
        <f t="shared" si="1"/>
        <v>3</v>
      </c>
      <c r="R10" s="44">
        <f t="shared" si="2"/>
        <v>2.99981350566491</v>
      </c>
      <c r="S10" s="44">
        <f t="shared" si="3"/>
        <v>0.0001864943350899928</v>
      </c>
      <c r="T10" s="44">
        <f t="shared" si="4"/>
      </c>
      <c r="U10" s="45">
        <f t="shared" si="5"/>
      </c>
      <c r="V10" s="45">
        <f t="shared" si="6"/>
        <v>7</v>
      </c>
      <c r="W10" s="151">
        <v>486159</v>
      </c>
      <c r="X10" s="46">
        <f aca="true" t="shared" si="16" ref="X10:X26">ROUND((O10-W10)/W10*100,1)</f>
        <v>6.5</v>
      </c>
      <c r="Y10" s="47">
        <f t="shared" si="7"/>
        <v>7658.977316416763</v>
      </c>
      <c r="Z10" s="40" t="s">
        <v>49</v>
      </c>
      <c r="AA10" s="41">
        <v>35733</v>
      </c>
      <c r="AB10" s="42">
        <f t="shared" si="8"/>
        <v>0.2</v>
      </c>
      <c r="AC10" s="48">
        <f t="shared" si="9"/>
        <v>528.3914470765682</v>
      </c>
      <c r="AD10" s="247">
        <v>32227</v>
      </c>
      <c r="AE10" s="248"/>
      <c r="AF10" s="43">
        <f t="shared" si="10"/>
        <v>0.2</v>
      </c>
      <c r="AG10" s="44">
        <f t="shared" si="11"/>
        <v>0.21693501596338893</v>
      </c>
      <c r="AH10" s="44">
        <f t="shared" si="12"/>
        <v>-0.016935015963388922</v>
      </c>
      <c r="AI10" s="44">
        <f t="shared" si="13"/>
        <v>0.016935015963388922</v>
      </c>
      <c r="AJ10" s="45">
        <f t="shared" si="14"/>
        <v>5</v>
      </c>
      <c r="AK10" s="45">
        <f t="shared" si="15"/>
        <v>11</v>
      </c>
    </row>
    <row r="11" spans="1:37" ht="16.5" customHeight="1">
      <c r="A11" s="9" t="s">
        <v>50</v>
      </c>
      <c r="B11" s="10"/>
      <c r="C11" s="10"/>
      <c r="D11" s="243" t="s">
        <v>200</v>
      </c>
      <c r="E11" s="244"/>
      <c r="F11" s="243" t="s">
        <v>199</v>
      </c>
      <c r="G11" s="245"/>
      <c r="H11" s="246"/>
      <c r="I11" s="9" t="s">
        <v>51</v>
      </c>
      <c r="J11" s="10"/>
      <c r="K11" s="10"/>
      <c r="L11" s="10"/>
      <c r="M11" s="78" t="s">
        <v>52</v>
      </c>
      <c r="N11" s="164" t="s">
        <v>176</v>
      </c>
      <c r="O11" s="21">
        <v>5933</v>
      </c>
      <c r="P11" s="42">
        <f t="shared" si="0"/>
        <v>0</v>
      </c>
      <c r="Q11" s="43">
        <f t="shared" si="1"/>
        <v>0</v>
      </c>
      <c r="R11" s="44">
        <f t="shared" si="2"/>
        <v>0.034362450002722124</v>
      </c>
      <c r="S11" s="44">
        <f t="shared" si="3"/>
        <v>-0.034362450002722124</v>
      </c>
      <c r="T11" s="44">
        <f t="shared" si="4"/>
        <v>0.034362450002722124</v>
      </c>
      <c r="U11" s="45">
        <f t="shared" si="5"/>
        <v>3</v>
      </c>
      <c r="V11" s="45">
        <f t="shared" si="6"/>
        <v>19</v>
      </c>
      <c r="W11" s="151">
        <v>5886</v>
      </c>
      <c r="X11" s="46">
        <f t="shared" si="16"/>
        <v>0.8</v>
      </c>
      <c r="Y11" s="47">
        <f t="shared" si="7"/>
        <v>87.73252890899948</v>
      </c>
      <c r="Z11" s="40" t="s">
        <v>53</v>
      </c>
      <c r="AA11" s="41">
        <v>47199</v>
      </c>
      <c r="AB11" s="42">
        <f t="shared" si="8"/>
        <v>0.3</v>
      </c>
      <c r="AC11" s="48">
        <f t="shared" si="9"/>
        <v>697.9416200869488</v>
      </c>
      <c r="AD11" s="247">
        <v>34285</v>
      </c>
      <c r="AE11" s="248"/>
      <c r="AF11" s="43">
        <f t="shared" si="10"/>
        <v>0.3</v>
      </c>
      <c r="AG11" s="44">
        <f t="shared" si="11"/>
        <v>0.286545093287885</v>
      </c>
      <c r="AH11" s="44">
        <f t="shared" si="12"/>
        <v>0.013454906712114967</v>
      </c>
      <c r="AI11" s="44">
        <f t="shared" si="13"/>
      </c>
      <c r="AJ11" s="45">
        <f t="shared" si="14"/>
      </c>
      <c r="AK11" s="45">
        <f t="shared" si="15"/>
        <v>3</v>
      </c>
    </row>
    <row r="12" spans="1:37" ht="16.5" customHeight="1">
      <c r="A12" s="79" t="s">
        <v>54</v>
      </c>
      <c r="B12" s="64"/>
      <c r="C12" s="64"/>
      <c r="D12" s="11"/>
      <c r="E12" s="64"/>
      <c r="F12" s="11"/>
      <c r="G12" s="64"/>
      <c r="H12" s="67"/>
      <c r="I12" s="50" t="s">
        <v>55</v>
      </c>
      <c r="J12" s="22"/>
      <c r="K12" s="22"/>
      <c r="L12" s="22"/>
      <c r="M12" s="55" t="s">
        <v>56</v>
      </c>
      <c r="N12" s="40" t="s">
        <v>177</v>
      </c>
      <c r="O12" s="21">
        <v>122627</v>
      </c>
      <c r="P12" s="42">
        <f t="shared" si="0"/>
        <v>0.7</v>
      </c>
      <c r="Q12" s="43">
        <f t="shared" si="1"/>
        <v>0.7</v>
      </c>
      <c r="R12" s="44">
        <f t="shared" si="2"/>
        <v>0.7102248704675216</v>
      </c>
      <c r="S12" s="44">
        <f t="shared" si="3"/>
        <v>-0.01022487046752163</v>
      </c>
      <c r="T12" s="44">
        <f t="shared" si="4"/>
        <v>0.01022487046752163</v>
      </c>
      <c r="U12" s="45">
        <f t="shared" si="5"/>
        <v>9</v>
      </c>
      <c r="V12" s="45">
        <f t="shared" si="6"/>
        <v>13</v>
      </c>
      <c r="W12" s="151">
        <v>119645</v>
      </c>
      <c r="X12" s="46">
        <f t="shared" si="16"/>
        <v>2.5</v>
      </c>
      <c r="Y12" s="47">
        <f t="shared" si="7"/>
        <v>1813.3114482595452</v>
      </c>
      <c r="Z12" s="40" t="s">
        <v>58</v>
      </c>
      <c r="AA12" s="41">
        <v>2228594</v>
      </c>
      <c r="AB12" s="42">
        <f t="shared" si="8"/>
        <v>13.5</v>
      </c>
      <c r="AC12" s="48">
        <f t="shared" si="9"/>
        <v>32954.691982373646</v>
      </c>
      <c r="AD12" s="247">
        <v>1533026</v>
      </c>
      <c r="AE12" s="248"/>
      <c r="AF12" s="43">
        <f t="shared" si="10"/>
        <v>13.5</v>
      </c>
      <c r="AG12" s="44">
        <f t="shared" si="11"/>
        <v>13.529792487781961</v>
      </c>
      <c r="AH12" s="44">
        <f t="shared" si="12"/>
        <v>-0.029792487781961086</v>
      </c>
      <c r="AI12" s="44">
        <f t="shared" si="13"/>
        <v>0.029792487781961086</v>
      </c>
      <c r="AJ12" s="45">
        <f t="shared" si="14"/>
        <v>3</v>
      </c>
      <c r="AK12" s="45">
        <f t="shared" si="15"/>
        <v>13</v>
      </c>
    </row>
    <row r="13" spans="1:37" ht="16.5" customHeight="1">
      <c r="A13" s="50"/>
      <c r="B13" s="22"/>
      <c r="C13" s="24" t="s">
        <v>59</v>
      </c>
      <c r="D13" s="23"/>
      <c r="E13" s="80">
        <v>17265940</v>
      </c>
      <c r="F13" s="23"/>
      <c r="G13" s="80">
        <v>16239890</v>
      </c>
      <c r="H13" s="25"/>
      <c r="I13" s="50" t="s">
        <v>60</v>
      </c>
      <c r="J13" s="22"/>
      <c r="K13" s="22"/>
      <c r="L13" s="22"/>
      <c r="M13" s="81">
        <v>8777559</v>
      </c>
      <c r="N13" s="40" t="s">
        <v>57</v>
      </c>
      <c r="O13" s="21">
        <v>325191</v>
      </c>
      <c r="P13" s="42">
        <f t="shared" si="0"/>
        <v>1.9</v>
      </c>
      <c r="Q13" s="43">
        <f t="shared" si="1"/>
        <v>1.9</v>
      </c>
      <c r="R13" s="44">
        <f t="shared" si="2"/>
        <v>1.8834248236701854</v>
      </c>
      <c r="S13" s="44">
        <f t="shared" si="3"/>
        <v>0.016575176329814534</v>
      </c>
      <c r="T13" s="44">
        <f t="shared" si="4"/>
      </c>
      <c r="U13" s="45">
        <f t="shared" si="5"/>
      </c>
      <c r="V13" s="45">
        <f t="shared" si="6"/>
        <v>2</v>
      </c>
      <c r="W13" s="151">
        <v>406510</v>
      </c>
      <c r="X13" s="46">
        <f t="shared" si="16"/>
        <v>-20</v>
      </c>
      <c r="Y13" s="47">
        <f t="shared" si="7"/>
        <v>4808.668263685565</v>
      </c>
      <c r="Z13" s="40" t="s">
        <v>62</v>
      </c>
      <c r="AA13" s="41">
        <v>792384</v>
      </c>
      <c r="AB13" s="42">
        <f t="shared" si="8"/>
        <v>4.8</v>
      </c>
      <c r="AC13" s="48">
        <f t="shared" si="9"/>
        <v>11717.150208499688</v>
      </c>
      <c r="AD13" s="247">
        <v>781084</v>
      </c>
      <c r="AE13" s="248"/>
      <c r="AF13" s="43">
        <f t="shared" si="10"/>
        <v>4.8</v>
      </c>
      <c r="AG13" s="44">
        <f t="shared" si="11"/>
        <v>4.810562664459575</v>
      </c>
      <c r="AH13" s="44">
        <f t="shared" si="12"/>
        <v>-0.010562664459575544</v>
      </c>
      <c r="AI13" s="44">
        <f t="shared" si="13"/>
        <v>0.010562664459575544</v>
      </c>
      <c r="AJ13" s="45">
        <f t="shared" si="14"/>
        <v>6</v>
      </c>
      <c r="AK13" s="45">
        <f t="shared" si="15"/>
        <v>10</v>
      </c>
    </row>
    <row r="14" spans="1:37" ht="16.5" customHeight="1">
      <c r="A14" s="19" t="s">
        <v>63</v>
      </c>
      <c r="B14" s="64"/>
      <c r="C14" s="82"/>
      <c r="D14" s="11"/>
      <c r="E14" s="64"/>
      <c r="F14" s="11"/>
      <c r="G14" s="64"/>
      <c r="H14" s="67"/>
      <c r="I14" s="50" t="s">
        <v>64</v>
      </c>
      <c r="J14" s="22"/>
      <c r="K14" s="22"/>
      <c r="L14" s="22"/>
      <c r="M14" s="81">
        <v>8223422</v>
      </c>
      <c r="N14" s="40" t="s">
        <v>61</v>
      </c>
      <c r="O14" s="41">
        <v>879269</v>
      </c>
      <c r="P14" s="42">
        <f t="shared" si="0"/>
        <v>5.1</v>
      </c>
      <c r="Q14" s="43">
        <f t="shared" si="1"/>
        <v>5.1</v>
      </c>
      <c r="R14" s="44">
        <f t="shared" si="2"/>
        <v>5.092505823604159</v>
      </c>
      <c r="S14" s="44">
        <f t="shared" si="3"/>
        <v>0.0074941763958404906</v>
      </c>
      <c r="T14" s="44">
        <f t="shared" si="4"/>
      </c>
      <c r="U14" s="45">
        <f t="shared" si="5"/>
      </c>
      <c r="V14" s="45">
        <f t="shared" si="6"/>
        <v>4</v>
      </c>
      <c r="W14" s="151">
        <v>864570</v>
      </c>
      <c r="X14" s="46">
        <f t="shared" si="16"/>
        <v>1.7</v>
      </c>
      <c r="Y14" s="47">
        <f t="shared" si="7"/>
        <v>13001.937124774495</v>
      </c>
      <c r="Z14" s="40" t="s">
        <v>66</v>
      </c>
      <c r="AA14" s="41">
        <v>1743685</v>
      </c>
      <c r="AB14" s="42">
        <f t="shared" si="8"/>
        <v>10.6</v>
      </c>
      <c r="AC14" s="48">
        <f t="shared" si="9"/>
        <v>25784.2397894301</v>
      </c>
      <c r="AD14" s="247">
        <v>1595425</v>
      </c>
      <c r="AE14" s="248"/>
      <c r="AF14" s="43">
        <f t="shared" si="10"/>
        <v>10.6</v>
      </c>
      <c r="AG14" s="44">
        <f t="shared" si="11"/>
        <v>10.585910315677998</v>
      </c>
      <c r="AH14" s="44">
        <f t="shared" si="12"/>
        <v>0.014089684322001972</v>
      </c>
      <c r="AI14" s="44">
        <f t="shared" si="13"/>
      </c>
      <c r="AJ14" s="45">
        <f t="shared" si="14"/>
      </c>
      <c r="AK14" s="45">
        <f t="shared" si="15"/>
        <v>2</v>
      </c>
    </row>
    <row r="15" spans="1:37" ht="16.5" customHeight="1">
      <c r="A15" s="50"/>
      <c r="B15" s="22"/>
      <c r="C15" s="24" t="s">
        <v>67</v>
      </c>
      <c r="D15" s="23"/>
      <c r="E15" s="80">
        <v>16471753</v>
      </c>
      <c r="F15" s="23"/>
      <c r="G15" s="80">
        <v>15496207</v>
      </c>
      <c r="H15" s="25"/>
      <c r="I15" s="50" t="s">
        <v>68</v>
      </c>
      <c r="J15" s="22"/>
      <c r="K15" s="22"/>
      <c r="L15" s="22"/>
      <c r="M15" s="81">
        <v>11325200</v>
      </c>
      <c r="N15" s="40" t="s">
        <v>65</v>
      </c>
      <c r="O15" s="21">
        <v>554137</v>
      </c>
      <c r="P15" s="42">
        <f>Q15</f>
        <v>3.2</v>
      </c>
      <c r="Q15" s="43">
        <f t="shared" si="1"/>
        <v>3.2</v>
      </c>
      <c r="R15" s="44">
        <f t="shared" si="2"/>
        <v>3.2094227131566537</v>
      </c>
      <c r="S15" s="44"/>
      <c r="T15" s="44"/>
      <c r="U15" s="45"/>
      <c r="V15" s="45"/>
      <c r="W15" s="151">
        <v>517548</v>
      </c>
      <c r="X15" s="46">
        <f t="shared" si="16"/>
        <v>7.1</v>
      </c>
      <c r="Y15" s="47">
        <f t="shared" si="7"/>
        <v>8194.141306598054</v>
      </c>
      <c r="Z15" s="40" t="s">
        <v>70</v>
      </c>
      <c r="AA15" s="41">
        <v>0</v>
      </c>
      <c r="AB15" s="83"/>
      <c r="AC15" s="48">
        <f t="shared" si="9"/>
        <v>0</v>
      </c>
      <c r="AD15" s="251">
        <v>0</v>
      </c>
      <c r="AE15" s="252"/>
      <c r="AF15" s="43">
        <f t="shared" si="10"/>
        <v>0</v>
      </c>
      <c r="AG15" s="44">
        <f t="shared" si="11"/>
        <v>0</v>
      </c>
      <c r="AH15" s="44">
        <f t="shared" si="12"/>
        <v>0</v>
      </c>
      <c r="AI15" s="44">
        <f t="shared" si="13"/>
        <v>0</v>
      </c>
      <c r="AJ15" s="45">
        <f t="shared" si="14"/>
        <v>8</v>
      </c>
      <c r="AK15" s="45">
        <f t="shared" si="15"/>
        <v>5</v>
      </c>
    </row>
    <row r="16" spans="1:37" ht="16.5" customHeight="1">
      <c r="A16" s="19" t="s">
        <v>71</v>
      </c>
      <c r="B16" s="64"/>
      <c r="C16" s="82"/>
      <c r="D16" s="11"/>
      <c r="E16" s="64"/>
      <c r="F16" s="11"/>
      <c r="G16" s="64"/>
      <c r="H16" s="67"/>
      <c r="I16" s="50" t="s">
        <v>72</v>
      </c>
      <c r="J16" s="22"/>
      <c r="K16" s="22"/>
      <c r="L16" s="22"/>
      <c r="M16" s="84">
        <v>0.929</v>
      </c>
      <c r="N16" s="40" t="s">
        <v>69</v>
      </c>
      <c r="O16" s="21">
        <v>10957</v>
      </c>
      <c r="P16" s="42">
        <f aca="true" t="shared" si="17" ref="P16:P26">IF(Q$29&lt;100,(IF(U16&lt;=Q$30,ROUNDUP(R16,1),Q16)),(IF(V16&lt;=Q$30,ROUNDDOWN(R16,1),Q16)))</f>
        <v>0.1</v>
      </c>
      <c r="Q16" s="43">
        <f t="shared" si="1"/>
        <v>0.1</v>
      </c>
      <c r="R16" s="44">
        <f t="shared" si="2"/>
        <v>0.06346019967635703</v>
      </c>
      <c r="S16" s="44">
        <f aca="true" t="shared" si="18" ref="S16:S26">Q16-R16</f>
        <v>0.03653980032364297</v>
      </c>
      <c r="T16" s="44">
        <f aca="true" t="shared" si="19" ref="T16:T26">IF(S16&gt;0,"",ABS(S16))</f>
      </c>
      <c r="U16" s="45">
        <f aca="true" t="shared" si="20" ref="U16:U26">IF(T16="","",RANK(T16,T$5:T$26))</f>
      </c>
      <c r="V16" s="45">
        <f aca="true" t="shared" si="21" ref="V16:V26">RANK(S16,S$5:S$26)</f>
        <v>1</v>
      </c>
      <c r="W16" s="151">
        <v>10306</v>
      </c>
      <c r="X16" s="46">
        <f t="shared" si="16"/>
        <v>6.3</v>
      </c>
      <c r="Y16" s="47">
        <f t="shared" si="7"/>
        <v>162.02348209268624</v>
      </c>
      <c r="Z16" s="40" t="s">
        <v>74</v>
      </c>
      <c r="AA16" s="41">
        <v>1674919</v>
      </c>
      <c r="AB16" s="42">
        <f>IF(AF$27&lt;100,(IF(AJ16&lt;=AF$28,ROUNDUP(AG16,1),AF16)),(IF(AK16&lt;=AF$28,ROUNDDOWN(AG16,1),AF16)))</f>
        <v>10.2</v>
      </c>
      <c r="AC16" s="48">
        <f t="shared" si="9"/>
        <v>24767.382367728387</v>
      </c>
      <c r="AD16" s="247">
        <v>1654553</v>
      </c>
      <c r="AE16" s="248"/>
      <c r="AF16" s="43">
        <f t="shared" si="10"/>
        <v>10.2</v>
      </c>
      <c r="AG16" s="44">
        <f t="shared" si="11"/>
        <v>10.168431981708322</v>
      </c>
      <c r="AH16" s="44">
        <f t="shared" si="12"/>
        <v>0.031568018291677546</v>
      </c>
      <c r="AI16" s="44">
        <f t="shared" si="13"/>
      </c>
      <c r="AJ16" s="45">
        <f t="shared" si="14"/>
      </c>
      <c r="AK16" s="45">
        <f t="shared" si="15"/>
        <v>1</v>
      </c>
    </row>
    <row r="17" spans="1:37" ht="16.5" customHeight="1">
      <c r="A17" s="50"/>
      <c r="B17" s="24" t="s">
        <v>75</v>
      </c>
      <c r="C17" s="24" t="s">
        <v>76</v>
      </c>
      <c r="D17" s="23"/>
      <c r="E17" s="85">
        <f>E13-E15</f>
        <v>794187</v>
      </c>
      <c r="F17" s="23"/>
      <c r="G17" s="85">
        <f>G13-G15</f>
        <v>743683</v>
      </c>
      <c r="H17" s="25"/>
      <c r="I17" s="50" t="s">
        <v>77</v>
      </c>
      <c r="J17" s="22"/>
      <c r="K17" s="22"/>
      <c r="L17" s="22"/>
      <c r="M17" s="87">
        <v>6.5</v>
      </c>
      <c r="N17" s="40" t="s">
        <v>73</v>
      </c>
      <c r="O17" s="21">
        <v>66210</v>
      </c>
      <c r="P17" s="42">
        <f t="shared" si="17"/>
        <v>0.4</v>
      </c>
      <c r="Q17" s="43">
        <f t="shared" si="1"/>
        <v>0.4</v>
      </c>
      <c r="R17" s="44">
        <f t="shared" si="2"/>
        <v>0.38347173684143465</v>
      </c>
      <c r="S17" s="44">
        <f t="shared" si="18"/>
        <v>0.01652826315856537</v>
      </c>
      <c r="T17" s="44">
        <f t="shared" si="19"/>
      </c>
      <c r="U17" s="45">
        <f t="shared" si="20"/>
      </c>
      <c r="V17" s="45">
        <f t="shared" si="21"/>
        <v>3</v>
      </c>
      <c r="W17" s="151">
        <v>64346</v>
      </c>
      <c r="X17" s="46">
        <f t="shared" si="16"/>
        <v>2.9</v>
      </c>
      <c r="Y17" s="47">
        <f t="shared" si="7"/>
        <v>979.0613077810309</v>
      </c>
      <c r="Z17" s="40" t="s">
        <v>79</v>
      </c>
      <c r="AA17" s="23">
        <v>0</v>
      </c>
      <c r="AB17" s="83"/>
      <c r="AC17" s="86">
        <f t="shared" si="9"/>
        <v>0</v>
      </c>
      <c r="AD17" s="253">
        <v>0</v>
      </c>
      <c r="AE17" s="252"/>
      <c r="AF17" s="43">
        <f t="shared" si="10"/>
        <v>0</v>
      </c>
      <c r="AG17" s="44">
        <f t="shared" si="11"/>
        <v>0</v>
      </c>
      <c r="AH17" s="44">
        <f t="shared" si="12"/>
        <v>0</v>
      </c>
      <c r="AI17" s="44">
        <f t="shared" si="13"/>
        <v>0</v>
      </c>
      <c r="AJ17" s="45">
        <f t="shared" si="14"/>
        <v>8</v>
      </c>
      <c r="AK17" s="45">
        <f t="shared" si="15"/>
        <v>5</v>
      </c>
    </row>
    <row r="18" spans="1:37" ht="16.5" customHeight="1">
      <c r="A18" s="19" t="s">
        <v>80</v>
      </c>
      <c r="B18" s="64"/>
      <c r="C18" s="82"/>
      <c r="D18" s="11" t="s">
        <v>204</v>
      </c>
      <c r="E18" s="64"/>
      <c r="F18" s="11"/>
      <c r="G18" s="64"/>
      <c r="H18" s="67"/>
      <c r="I18" s="50" t="s">
        <v>81</v>
      </c>
      <c r="J18" s="22"/>
      <c r="K18" s="22"/>
      <c r="L18" s="22"/>
      <c r="M18" s="87">
        <v>10.1</v>
      </c>
      <c r="N18" s="40" t="s">
        <v>78</v>
      </c>
      <c r="O18" s="21">
        <v>333646</v>
      </c>
      <c r="P18" s="42">
        <f t="shared" si="17"/>
        <v>1.9</v>
      </c>
      <c r="Q18" s="43">
        <f t="shared" si="1"/>
        <v>1.9</v>
      </c>
      <c r="R18" s="44">
        <f t="shared" si="2"/>
        <v>1.9323940660050947</v>
      </c>
      <c r="S18" s="44">
        <f t="shared" si="18"/>
        <v>-0.03239406600509476</v>
      </c>
      <c r="T18" s="44">
        <f t="shared" si="19"/>
        <v>0.03239406600509476</v>
      </c>
      <c r="U18" s="45">
        <f t="shared" si="20"/>
        <v>5</v>
      </c>
      <c r="V18" s="45">
        <f t="shared" si="21"/>
        <v>17</v>
      </c>
      <c r="W18" s="151">
        <v>308276</v>
      </c>
      <c r="X18" s="46">
        <f t="shared" si="16"/>
        <v>8.2</v>
      </c>
      <c r="Y18" s="47">
        <f t="shared" si="7"/>
        <v>4933.694141306599</v>
      </c>
      <c r="Z18" s="88" t="s">
        <v>83</v>
      </c>
      <c r="AA18" s="11"/>
      <c r="AB18" s="11"/>
      <c r="AC18" s="11"/>
      <c r="AD18" s="254"/>
      <c r="AE18" s="255"/>
      <c r="AF18" s="89">
        <f t="shared" si="10"/>
        <v>0</v>
      </c>
      <c r="AG18" s="90">
        <f t="shared" si="11"/>
        <v>0</v>
      </c>
      <c r="AH18" s="180">
        <f t="shared" si="12"/>
        <v>0</v>
      </c>
      <c r="AI18" s="180">
        <f t="shared" si="13"/>
        <v>0</v>
      </c>
      <c r="AJ18" s="181">
        <f t="shared" si="14"/>
        <v>8</v>
      </c>
      <c r="AK18" s="181">
        <f t="shared" si="15"/>
        <v>5</v>
      </c>
    </row>
    <row r="19" spans="1:37" ht="16.5" customHeight="1">
      <c r="A19" s="50" t="s">
        <v>84</v>
      </c>
      <c r="B19" s="22"/>
      <c r="C19" s="24" t="s">
        <v>85</v>
      </c>
      <c r="D19" s="23"/>
      <c r="E19" s="80">
        <v>53194</v>
      </c>
      <c r="F19" s="23"/>
      <c r="G19" s="80">
        <v>92397</v>
      </c>
      <c r="H19" s="25"/>
      <c r="I19" s="50" t="s">
        <v>178</v>
      </c>
      <c r="J19" s="22"/>
      <c r="K19" s="22"/>
      <c r="L19" s="22"/>
      <c r="M19" s="87">
        <v>12.2</v>
      </c>
      <c r="N19" s="40" t="s">
        <v>82</v>
      </c>
      <c r="O19" s="21">
        <v>1059161</v>
      </c>
      <c r="P19" s="42">
        <f t="shared" si="17"/>
        <v>6.199999999999999</v>
      </c>
      <c r="Q19" s="43">
        <f t="shared" si="1"/>
        <v>6.1</v>
      </c>
      <c r="R19" s="44">
        <f t="shared" si="2"/>
        <v>6.134395231305102</v>
      </c>
      <c r="S19" s="44">
        <f t="shared" si="18"/>
        <v>-0.034395231305102136</v>
      </c>
      <c r="T19" s="44">
        <f t="shared" si="19"/>
        <v>0.034395231305102136</v>
      </c>
      <c r="U19" s="45">
        <f t="shared" si="20"/>
        <v>2</v>
      </c>
      <c r="V19" s="45">
        <f t="shared" si="21"/>
        <v>20</v>
      </c>
      <c r="W19" s="151">
        <v>1165527</v>
      </c>
      <c r="X19" s="46">
        <f t="shared" si="16"/>
        <v>-9.1</v>
      </c>
      <c r="Y19" s="47">
        <f t="shared" si="7"/>
        <v>15662.038269304705</v>
      </c>
      <c r="Z19" s="40" t="s">
        <v>88</v>
      </c>
      <c r="AA19" s="23">
        <v>0</v>
      </c>
      <c r="AB19" s="91"/>
      <c r="AC19" s="86">
        <f>AA19/$C$7*1000</f>
        <v>0</v>
      </c>
      <c r="AD19" s="256">
        <v>0</v>
      </c>
      <c r="AE19" s="257"/>
      <c r="AF19" s="43">
        <f t="shared" si="10"/>
        <v>0</v>
      </c>
      <c r="AG19" s="44">
        <f t="shared" si="11"/>
        <v>0</v>
      </c>
      <c r="AH19" s="44">
        <f t="shared" si="12"/>
        <v>0</v>
      </c>
      <c r="AI19" s="44">
        <f t="shared" si="13"/>
        <v>0</v>
      </c>
      <c r="AJ19" s="45">
        <f t="shared" si="14"/>
        <v>8</v>
      </c>
      <c r="AK19" s="45">
        <f t="shared" si="15"/>
        <v>5</v>
      </c>
    </row>
    <row r="20" spans="1:31" ht="16.5" customHeight="1">
      <c r="A20" s="19" t="s">
        <v>89</v>
      </c>
      <c r="B20" s="64"/>
      <c r="C20" s="82"/>
      <c r="D20" s="11"/>
      <c r="E20" s="64"/>
      <c r="F20" s="11"/>
      <c r="G20" s="64"/>
      <c r="H20" s="67"/>
      <c r="I20" s="50" t="s">
        <v>206</v>
      </c>
      <c r="J20" s="22"/>
      <c r="K20" s="22"/>
      <c r="L20" s="22"/>
      <c r="M20" s="87">
        <v>12.2</v>
      </c>
      <c r="N20" s="40" t="s">
        <v>87</v>
      </c>
      <c r="O20" s="21">
        <v>620405</v>
      </c>
      <c r="P20" s="42">
        <f t="shared" si="17"/>
        <v>3.6</v>
      </c>
      <c r="Q20" s="43">
        <f t="shared" si="1"/>
        <v>3.6</v>
      </c>
      <c r="R20" s="44">
        <f t="shared" si="2"/>
        <v>3.5932303714712317</v>
      </c>
      <c r="S20" s="44">
        <f t="shared" si="18"/>
        <v>0.00676962852876839</v>
      </c>
      <c r="T20" s="44">
        <f t="shared" si="19"/>
      </c>
      <c r="U20" s="45">
        <f t="shared" si="20"/>
      </c>
      <c r="V20" s="45">
        <f t="shared" si="21"/>
        <v>5</v>
      </c>
      <c r="W20" s="151">
        <v>554381</v>
      </c>
      <c r="X20" s="46">
        <f t="shared" si="16"/>
        <v>11.9</v>
      </c>
      <c r="Y20" s="47">
        <f t="shared" si="7"/>
        <v>9174.06027267619</v>
      </c>
      <c r="Z20" s="19"/>
      <c r="AA20" s="11"/>
      <c r="AB20" s="11"/>
      <c r="AC20" s="11"/>
      <c r="AD20" s="254"/>
      <c r="AE20" s="255"/>
    </row>
    <row r="21" spans="1:31" ht="16.5" customHeight="1">
      <c r="A21" s="50"/>
      <c r="B21" s="22" t="s">
        <v>92</v>
      </c>
      <c r="C21" s="24" t="s">
        <v>93</v>
      </c>
      <c r="D21" s="23"/>
      <c r="E21" s="92">
        <f>E17-E19</f>
        <v>740993</v>
      </c>
      <c r="F21" s="93"/>
      <c r="G21" s="92">
        <f>G17-G19</f>
        <v>651286</v>
      </c>
      <c r="H21" s="25"/>
      <c r="I21" s="50" t="s">
        <v>86</v>
      </c>
      <c r="J21" s="22"/>
      <c r="K21" s="22"/>
      <c r="L21" s="22"/>
      <c r="M21" s="84">
        <v>44.6</v>
      </c>
      <c r="N21" s="40" t="s">
        <v>91</v>
      </c>
      <c r="O21" s="21">
        <v>90199</v>
      </c>
      <c r="P21" s="42">
        <f t="shared" si="17"/>
        <v>0.5</v>
      </c>
      <c r="Q21" s="43">
        <f t="shared" si="1"/>
        <v>0.5</v>
      </c>
      <c r="R21" s="44">
        <f t="shared" si="2"/>
        <v>0.5224100164833192</v>
      </c>
      <c r="S21" s="44">
        <f t="shared" si="18"/>
        <v>-0.022410016483319195</v>
      </c>
      <c r="T21" s="44">
        <f t="shared" si="19"/>
        <v>0.022410016483319195</v>
      </c>
      <c r="U21" s="45">
        <f t="shared" si="20"/>
        <v>7</v>
      </c>
      <c r="V21" s="45">
        <f t="shared" si="21"/>
        <v>15</v>
      </c>
      <c r="W21" s="151">
        <v>7049</v>
      </c>
      <c r="X21" s="46">
        <f t="shared" si="16"/>
        <v>1179.6</v>
      </c>
      <c r="Y21" s="47">
        <f t="shared" si="7"/>
        <v>1333.7917369059237</v>
      </c>
      <c r="Z21" s="19"/>
      <c r="AA21" s="11"/>
      <c r="AB21" s="11"/>
      <c r="AC21" s="11"/>
      <c r="AD21" s="261"/>
      <c r="AE21" s="262"/>
    </row>
    <row r="22" spans="1:31" ht="16.5" customHeight="1">
      <c r="A22" s="279" t="s">
        <v>96</v>
      </c>
      <c r="B22" s="280"/>
      <c r="C22" s="281"/>
      <c r="D22" s="154"/>
      <c r="E22" s="183"/>
      <c r="F22" s="154"/>
      <c r="G22" s="183"/>
      <c r="H22" s="184"/>
      <c r="I22" s="50" t="s">
        <v>90</v>
      </c>
      <c r="J22" s="22"/>
      <c r="K22" s="22"/>
      <c r="L22" s="22"/>
      <c r="M22" s="81">
        <v>14549219</v>
      </c>
      <c r="N22" s="40" t="s">
        <v>95</v>
      </c>
      <c r="O22" s="21">
        <v>888</v>
      </c>
      <c r="P22" s="42">
        <f t="shared" si="17"/>
        <v>0</v>
      </c>
      <c r="Q22" s="43">
        <f t="shared" si="1"/>
        <v>0</v>
      </c>
      <c r="R22" s="44">
        <f t="shared" si="2"/>
        <v>0.005143073588811267</v>
      </c>
      <c r="S22" s="44">
        <f t="shared" si="18"/>
        <v>-0.005143073588811267</v>
      </c>
      <c r="T22" s="44">
        <f t="shared" si="19"/>
        <v>0.005143073588811267</v>
      </c>
      <c r="U22" s="45">
        <f t="shared" si="20"/>
        <v>13</v>
      </c>
      <c r="V22" s="45">
        <f t="shared" si="21"/>
        <v>9</v>
      </c>
      <c r="W22" s="151">
        <v>700</v>
      </c>
      <c r="X22" s="46">
        <f t="shared" si="16"/>
        <v>26.9</v>
      </c>
      <c r="Y22" s="47">
        <f t="shared" si="7"/>
        <v>13.131044272912785</v>
      </c>
      <c r="Z22" s="19"/>
      <c r="AA22" s="11"/>
      <c r="AB22" s="11"/>
      <c r="AC22" s="11"/>
      <c r="AD22" s="261"/>
      <c r="AE22" s="262"/>
    </row>
    <row r="23" spans="1:31" ht="16.5" customHeight="1">
      <c r="A23" s="282"/>
      <c r="B23" s="283"/>
      <c r="C23" s="284"/>
      <c r="D23" s="23"/>
      <c r="E23" s="94">
        <v>89707</v>
      </c>
      <c r="F23" s="23"/>
      <c r="G23" s="94">
        <v>226429</v>
      </c>
      <c r="H23" s="25"/>
      <c r="I23" s="50" t="s">
        <v>94</v>
      </c>
      <c r="J23" s="22"/>
      <c r="K23" s="22"/>
      <c r="L23" s="22"/>
      <c r="M23" s="81">
        <v>327009</v>
      </c>
      <c r="N23" s="40" t="s">
        <v>99</v>
      </c>
      <c r="O23" s="21">
        <v>193944</v>
      </c>
      <c r="P23" s="42">
        <f t="shared" si="17"/>
        <v>1.1</v>
      </c>
      <c r="Q23" s="43">
        <f t="shared" si="1"/>
        <v>1.1</v>
      </c>
      <c r="R23" s="44">
        <f t="shared" si="2"/>
        <v>1.123275072194158</v>
      </c>
      <c r="S23" s="44">
        <f t="shared" si="18"/>
        <v>-0.02327507219415792</v>
      </c>
      <c r="T23" s="44">
        <f t="shared" si="19"/>
        <v>0.02327507219415792</v>
      </c>
      <c r="U23" s="45">
        <f t="shared" si="20"/>
        <v>6</v>
      </c>
      <c r="V23" s="45">
        <f t="shared" si="21"/>
        <v>16</v>
      </c>
      <c r="W23" s="151">
        <v>515994</v>
      </c>
      <c r="X23" s="46">
        <f t="shared" si="16"/>
        <v>-62.4</v>
      </c>
      <c r="Y23" s="47">
        <f t="shared" si="7"/>
        <v>2867.8910478218436</v>
      </c>
      <c r="Z23" s="19"/>
      <c r="AA23" s="11"/>
      <c r="AB23" s="11"/>
      <c r="AC23" s="11"/>
      <c r="AD23" s="233"/>
      <c r="AE23" s="234"/>
    </row>
    <row r="24" spans="1:31" ht="16.5" customHeight="1">
      <c r="A24" s="50" t="s">
        <v>100</v>
      </c>
      <c r="B24" s="22"/>
      <c r="C24" s="22"/>
      <c r="D24" s="23"/>
      <c r="E24" s="80">
        <v>498508</v>
      </c>
      <c r="F24" s="23"/>
      <c r="G24" s="80">
        <v>9</v>
      </c>
      <c r="H24" s="25"/>
      <c r="I24" s="19" t="s">
        <v>97</v>
      </c>
      <c r="J24" s="64"/>
      <c r="K24" s="23" t="s">
        <v>98</v>
      </c>
      <c r="L24" s="22"/>
      <c r="M24" s="81">
        <v>1488291</v>
      </c>
      <c r="N24" s="40" t="s">
        <v>102</v>
      </c>
      <c r="O24" s="21">
        <v>743683</v>
      </c>
      <c r="P24" s="42">
        <f t="shared" si="17"/>
        <v>4.3</v>
      </c>
      <c r="Q24" s="43">
        <f t="shared" si="1"/>
        <v>4.3</v>
      </c>
      <c r="R24" s="44">
        <f t="shared" si="2"/>
        <v>4.307225670887307</v>
      </c>
      <c r="S24" s="44">
        <f t="shared" si="18"/>
        <v>-0.007225670887307523</v>
      </c>
      <c r="T24" s="44">
        <f t="shared" si="19"/>
        <v>0.007225670887307523</v>
      </c>
      <c r="U24" s="45">
        <f t="shared" si="20"/>
        <v>12</v>
      </c>
      <c r="V24" s="45">
        <f t="shared" si="21"/>
        <v>10</v>
      </c>
      <c r="W24" s="151">
        <v>436392</v>
      </c>
      <c r="X24" s="46">
        <f t="shared" si="16"/>
        <v>70.4</v>
      </c>
      <c r="Y24" s="47">
        <f t="shared" si="7"/>
        <v>10996.998195960134</v>
      </c>
      <c r="Z24" s="19"/>
      <c r="AA24" s="11"/>
      <c r="AB24" s="11"/>
      <c r="AC24" s="11"/>
      <c r="AD24" s="261"/>
      <c r="AE24" s="262"/>
    </row>
    <row r="25" spans="1:31" ht="16.5" customHeight="1">
      <c r="A25" s="50" t="s">
        <v>103</v>
      </c>
      <c r="B25" s="22"/>
      <c r="C25" s="22"/>
      <c r="D25" s="23"/>
      <c r="E25" s="80"/>
      <c r="F25" s="23"/>
      <c r="G25" s="80"/>
      <c r="H25" s="25"/>
      <c r="I25" s="22"/>
      <c r="J25" s="22"/>
      <c r="K25" s="23" t="s">
        <v>101</v>
      </c>
      <c r="L25" s="22"/>
      <c r="M25" s="81">
        <v>491698</v>
      </c>
      <c r="N25" s="40" t="s">
        <v>105</v>
      </c>
      <c r="O25" s="21">
        <v>247324</v>
      </c>
      <c r="P25" s="42">
        <f t="shared" si="17"/>
        <v>1.4</v>
      </c>
      <c r="Q25" s="43">
        <f t="shared" si="1"/>
        <v>1.4</v>
      </c>
      <c r="R25" s="44">
        <f t="shared" si="2"/>
        <v>1.432438662476529</v>
      </c>
      <c r="S25" s="44">
        <f t="shared" si="18"/>
        <v>-0.032438662476529156</v>
      </c>
      <c r="T25" s="44">
        <f t="shared" si="19"/>
        <v>0.032438662476529156</v>
      </c>
      <c r="U25" s="45">
        <f t="shared" si="20"/>
        <v>4</v>
      </c>
      <c r="V25" s="45">
        <f t="shared" si="21"/>
        <v>18</v>
      </c>
      <c r="W25" s="151">
        <v>259063</v>
      </c>
      <c r="X25" s="46">
        <f t="shared" si="16"/>
        <v>-4.5</v>
      </c>
      <c r="Y25" s="47">
        <f t="shared" si="7"/>
        <v>3657.2324253985157</v>
      </c>
      <c r="Z25" s="19"/>
      <c r="AA25" s="11"/>
      <c r="AB25" s="11"/>
      <c r="AC25" s="11"/>
      <c r="AD25" s="261"/>
      <c r="AE25" s="262"/>
    </row>
    <row r="26" spans="1:31" ht="16.5" customHeight="1">
      <c r="A26" s="50" t="s">
        <v>181</v>
      </c>
      <c r="B26" s="22"/>
      <c r="C26" s="22"/>
      <c r="D26" s="23"/>
      <c r="E26" s="80">
        <v>0</v>
      </c>
      <c r="F26" s="23"/>
      <c r="G26" s="80">
        <v>451080</v>
      </c>
      <c r="H26" s="25"/>
      <c r="I26" s="50" t="s">
        <v>104</v>
      </c>
      <c r="J26" s="22"/>
      <c r="K26" s="23"/>
      <c r="L26" s="22"/>
      <c r="M26" s="95">
        <v>83</v>
      </c>
      <c r="N26" s="40" t="s">
        <v>106</v>
      </c>
      <c r="O26" s="41">
        <v>1419300</v>
      </c>
      <c r="P26" s="42">
        <f t="shared" si="17"/>
        <v>8.2</v>
      </c>
      <c r="Q26" s="43">
        <f t="shared" si="1"/>
        <v>8.2</v>
      </c>
      <c r="R26" s="44">
        <f t="shared" si="2"/>
        <v>8.220230117792603</v>
      </c>
      <c r="S26" s="44">
        <f t="shared" si="18"/>
        <v>-0.020230117792603863</v>
      </c>
      <c r="T26" s="44">
        <f t="shared" si="19"/>
        <v>0.020230117792603863</v>
      </c>
      <c r="U26" s="45">
        <f t="shared" si="20"/>
        <v>8</v>
      </c>
      <c r="V26" s="45">
        <f t="shared" si="21"/>
        <v>14</v>
      </c>
      <c r="W26" s="151">
        <v>1145600</v>
      </c>
      <c r="X26" s="46">
        <f t="shared" si="16"/>
        <v>23.9</v>
      </c>
      <c r="Y26" s="47">
        <f t="shared" si="7"/>
        <v>20987.49001863189</v>
      </c>
      <c r="Z26" s="50"/>
      <c r="AA26" s="23"/>
      <c r="AB26" s="23"/>
      <c r="AC26" s="23"/>
      <c r="AD26" s="258"/>
      <c r="AE26" s="257"/>
    </row>
    <row r="27" spans="1:33" ht="16.5" customHeight="1" thickBot="1">
      <c r="A27" s="19" t="s">
        <v>107</v>
      </c>
      <c r="B27" s="64"/>
      <c r="C27" s="64"/>
      <c r="D27" s="11"/>
      <c r="E27" s="64"/>
      <c r="F27" s="11"/>
      <c r="G27" s="64"/>
      <c r="H27" s="67"/>
      <c r="I27" s="50" t="s">
        <v>18</v>
      </c>
      <c r="J27" s="22"/>
      <c r="K27" s="22"/>
      <c r="L27" s="22"/>
      <c r="M27" s="81">
        <v>14338556</v>
      </c>
      <c r="N27" s="88"/>
      <c r="O27" s="178"/>
      <c r="P27" s="225"/>
      <c r="Q27" s="179"/>
      <c r="R27" s="180"/>
      <c r="S27" s="180"/>
      <c r="T27" s="180"/>
      <c r="U27" s="181"/>
      <c r="V27" s="181"/>
      <c r="W27" s="221"/>
      <c r="X27" s="222"/>
      <c r="Y27" s="182"/>
      <c r="Z27" s="26" t="s">
        <v>110</v>
      </c>
      <c r="AA27" s="101">
        <f>SUM(AA5:AA17)+AA19</f>
        <v>16471753</v>
      </c>
      <c r="AB27" s="102">
        <f>SUM(AB5:AB17)+AB19</f>
        <v>100</v>
      </c>
      <c r="AC27" s="101">
        <f>SUM(AC5:AC17)+AC19</f>
        <v>243571.30393635586</v>
      </c>
      <c r="AD27" s="259">
        <f>SUM(AD5:AD17)+AE19</f>
        <v>13544369</v>
      </c>
      <c r="AE27" s="260"/>
      <c r="AF27" s="103">
        <f>SUM(AF5:AF17)+AF19</f>
        <v>99.9</v>
      </c>
      <c r="AG27" s="104">
        <f>SUM(AG5:AG17)+AG19</f>
        <v>100</v>
      </c>
    </row>
    <row r="28" spans="1:33" ht="16.5" customHeight="1">
      <c r="A28" s="19"/>
      <c r="B28" s="64"/>
      <c r="C28" s="64"/>
      <c r="D28" s="11"/>
      <c r="E28" s="237"/>
      <c r="F28" s="238"/>
      <c r="G28" s="237"/>
      <c r="H28" s="67"/>
      <c r="I28" s="50" t="s">
        <v>108</v>
      </c>
      <c r="J28" s="22"/>
      <c r="K28" s="22"/>
      <c r="L28" s="22"/>
      <c r="M28" s="229">
        <v>93.3</v>
      </c>
      <c r="N28" s="88"/>
      <c r="O28" s="178"/>
      <c r="P28" s="239"/>
      <c r="Q28" s="179"/>
      <c r="R28" s="180"/>
      <c r="S28" s="180"/>
      <c r="T28" s="180"/>
      <c r="U28" s="181"/>
      <c r="V28" s="181"/>
      <c r="W28" s="240"/>
      <c r="X28" s="241"/>
      <c r="Y28" s="182"/>
      <c r="Z28" s="107"/>
      <c r="AA28" s="53" t="s">
        <v>117</v>
      </c>
      <c r="AB28" s="54"/>
      <c r="AC28" s="54"/>
      <c r="AD28" s="265" t="s">
        <v>183</v>
      </c>
      <c r="AE28" s="266"/>
      <c r="AF28" s="108">
        <f>ABS(ROUND(100-AF27,1)*10)</f>
        <v>1</v>
      </c>
      <c r="AG28" s="105"/>
    </row>
    <row r="29" spans="1:31" ht="16.5" customHeight="1" thickBot="1">
      <c r="A29" s="68"/>
      <c r="B29" s="71" t="s">
        <v>207</v>
      </c>
      <c r="C29" s="71"/>
      <c r="D29" s="144"/>
      <c r="E29" s="185">
        <f>E23+E24+E25-E26</f>
        <v>588215</v>
      </c>
      <c r="F29" s="122"/>
      <c r="G29" s="185">
        <f>G23+G24+G25-G26</f>
        <v>-224642</v>
      </c>
      <c r="H29" s="186"/>
      <c r="I29" s="68" t="s">
        <v>111</v>
      </c>
      <c r="J29" s="71"/>
      <c r="K29" s="71"/>
      <c r="L29" s="71"/>
      <c r="M29" s="230">
        <v>93.3</v>
      </c>
      <c r="N29" s="26" t="s">
        <v>109</v>
      </c>
      <c r="O29" s="96">
        <f>SUM(O5:O26)-O15</f>
        <v>17265940</v>
      </c>
      <c r="P29" s="226">
        <f>SUM(P5:P26)-P15</f>
        <v>100.00000000000001</v>
      </c>
      <c r="Q29" s="97">
        <f>SUM(Q5:Q26)-P15</f>
        <v>99.80000000000001</v>
      </c>
      <c r="R29" s="97">
        <f>SUM(R5:R26)-Q15</f>
        <v>100.00942271315664</v>
      </c>
      <c r="S29" s="98"/>
      <c r="T29" s="98"/>
      <c r="U29" s="99"/>
      <c r="V29" s="99"/>
      <c r="W29" s="242">
        <f>SUM(W5:W26)-W15</f>
        <v>16239890</v>
      </c>
      <c r="X29" s="223">
        <f>ROUND((O29-W29)/W29*100,1)</f>
        <v>6.3</v>
      </c>
      <c r="Y29" s="100">
        <f>SUM(Y5:Y26)-Y15</f>
        <v>255315.1154881259</v>
      </c>
      <c r="Z29" s="107"/>
      <c r="AA29" s="53" t="s">
        <v>120</v>
      </c>
      <c r="AB29" s="54"/>
      <c r="AC29" s="227">
        <v>3255456</v>
      </c>
      <c r="AD29" s="120">
        <f>ROUND(AC29/($AD$39)*100,1)</f>
        <v>26.4</v>
      </c>
      <c r="AE29" s="1">
        <f>ROUND(AC29/$AF$40*100,1)</f>
        <v>28.2</v>
      </c>
    </row>
    <row r="30" spans="1:31" ht="16.5" customHeight="1" hidden="1" outlineLevel="1" thickBot="1">
      <c r="A30" s="189"/>
      <c r="B30" s="190"/>
      <c r="C30" s="190"/>
      <c r="D30" s="191"/>
      <c r="E30" s="192"/>
      <c r="F30" s="193"/>
      <c r="G30" s="192"/>
      <c r="H30" s="194"/>
      <c r="I30" s="173"/>
      <c r="J30" s="174"/>
      <c r="K30" s="174"/>
      <c r="L30" s="174"/>
      <c r="M30" s="175"/>
      <c r="N30" s="165"/>
      <c r="O30" s="166"/>
      <c r="P30" s="167"/>
      <c r="Q30" s="168">
        <f>ABS(ROUND(100-Q29,1)*10)</f>
        <v>2</v>
      </c>
      <c r="R30" s="169"/>
      <c r="S30" s="170"/>
      <c r="T30" s="170"/>
      <c r="U30" s="171"/>
      <c r="V30" s="171"/>
      <c r="W30" s="171"/>
      <c r="X30" s="172"/>
      <c r="Y30" s="166"/>
      <c r="Z30" s="200"/>
      <c r="AA30" s="205"/>
      <c r="AB30" s="206"/>
      <c r="AC30" s="228"/>
      <c r="AD30" s="207"/>
      <c r="AE30" s="208"/>
    </row>
    <row r="31" spans="1:31" ht="16.5" customHeight="1" collapsed="1">
      <c r="A31" s="53" t="s">
        <v>113</v>
      </c>
      <c r="B31" s="54"/>
      <c r="C31" s="20" t="s">
        <v>114</v>
      </c>
      <c r="D31" s="23"/>
      <c r="E31" s="22" t="s">
        <v>115</v>
      </c>
      <c r="F31" s="187" t="s">
        <v>116</v>
      </c>
      <c r="G31" s="54"/>
      <c r="H31" s="188"/>
      <c r="I31" s="9" t="s">
        <v>51</v>
      </c>
      <c r="J31" s="10"/>
      <c r="K31" s="10"/>
      <c r="L31" s="150" t="s">
        <v>169</v>
      </c>
      <c r="M31" s="18"/>
      <c r="N31" s="198" t="s">
        <v>112</v>
      </c>
      <c r="O31" s="109"/>
      <c r="P31" s="109"/>
      <c r="Q31" s="110"/>
      <c r="R31" s="110"/>
      <c r="S31" s="110"/>
      <c r="T31" s="110"/>
      <c r="U31" s="110"/>
      <c r="V31" s="110"/>
      <c r="W31" s="110"/>
      <c r="X31" s="109"/>
      <c r="Y31" s="109"/>
      <c r="Z31" s="10"/>
      <c r="AA31" s="53" t="s">
        <v>123</v>
      </c>
      <c r="AB31" s="54"/>
      <c r="AC31" s="227">
        <v>809367</v>
      </c>
      <c r="AD31" s="120">
        <f aca="true" t="shared" si="22" ref="AD31:AD38">ROUND(AC31/($AD$39)*100,1)</f>
        <v>6.6</v>
      </c>
      <c r="AE31" s="1">
        <f aca="true" t="shared" si="23" ref="AE31:AE38">ROUND(AC31/$AF$40*100,1)</f>
        <v>7</v>
      </c>
    </row>
    <row r="32" spans="1:31" ht="16.5" customHeight="1">
      <c r="A32" s="50" t="s">
        <v>118</v>
      </c>
      <c r="B32" s="22"/>
      <c r="C32" s="23">
        <v>364</v>
      </c>
      <c r="D32" s="23"/>
      <c r="E32" s="119">
        <v>44.4</v>
      </c>
      <c r="F32" s="23"/>
      <c r="G32" s="80">
        <v>340099</v>
      </c>
      <c r="H32" s="25" t="s">
        <v>163</v>
      </c>
      <c r="I32" s="269" t="s">
        <v>184</v>
      </c>
      <c r="J32" s="270"/>
      <c r="K32" s="271"/>
      <c r="L32" s="23"/>
      <c r="M32" s="231">
        <v>858000</v>
      </c>
      <c r="N32" s="113" t="s">
        <v>10</v>
      </c>
      <c r="O32" s="114" t="s">
        <v>11</v>
      </c>
      <c r="P32" s="31" t="s">
        <v>12</v>
      </c>
      <c r="Q32" s="115" t="s">
        <v>12</v>
      </c>
      <c r="R32" s="115" t="s">
        <v>12</v>
      </c>
      <c r="S32" s="116" t="s">
        <v>13</v>
      </c>
      <c r="T32" s="116" t="s">
        <v>14</v>
      </c>
      <c r="U32" s="116" t="s">
        <v>15</v>
      </c>
      <c r="V32" s="116" t="s">
        <v>15</v>
      </c>
      <c r="W32" s="116" t="s">
        <v>165</v>
      </c>
      <c r="X32" s="117" t="s">
        <v>16</v>
      </c>
      <c r="Y32" s="118" t="s">
        <v>185</v>
      </c>
      <c r="Z32" s="20" t="s">
        <v>18</v>
      </c>
      <c r="AA32" s="53" t="s">
        <v>125</v>
      </c>
      <c r="AB32" s="54"/>
      <c r="AC32" s="227">
        <v>1654553</v>
      </c>
      <c r="AD32" s="120">
        <f t="shared" si="22"/>
        <v>13.4</v>
      </c>
      <c r="AE32" s="1">
        <f t="shared" si="23"/>
        <v>14.3</v>
      </c>
    </row>
    <row r="33" spans="1:31" ht="16.5" customHeight="1">
      <c r="A33" s="50" t="s">
        <v>121</v>
      </c>
      <c r="B33" s="22"/>
      <c r="C33" s="23">
        <v>7</v>
      </c>
      <c r="D33" s="23"/>
      <c r="E33" s="119">
        <v>47.9</v>
      </c>
      <c r="F33" s="23"/>
      <c r="G33" s="80">
        <v>421286</v>
      </c>
      <c r="H33" s="25" t="s">
        <v>163</v>
      </c>
      <c r="I33" s="269" t="s">
        <v>203</v>
      </c>
      <c r="J33" s="270"/>
      <c r="K33" s="271"/>
      <c r="L33" s="23" t="s">
        <v>208</v>
      </c>
      <c r="M33" s="231">
        <v>755000</v>
      </c>
      <c r="N33" s="40" t="s">
        <v>119</v>
      </c>
      <c r="O33" s="41">
        <v>3426804</v>
      </c>
      <c r="P33" s="42">
        <f>IF(Q$52&lt;100,(IF(U33&lt;=Q$53,ROUNDUP(R33,1),Q33)),(IF(V33&lt;=Q$53,ROUNDDOWN(R33,1),Q33)))</f>
        <v>20.8</v>
      </c>
      <c r="Q33" s="43">
        <f aca="true" t="shared" si="24" ref="Q33:Q43">ROUND(O33/O$52*100,1)</f>
        <v>20.8</v>
      </c>
      <c r="R33" s="44">
        <f aca="true" t="shared" si="25" ref="R33:R49">(O33/O$52*100)</f>
        <v>20.804124491181962</v>
      </c>
      <c r="S33" s="44">
        <f>Q33-R33</f>
        <v>-0.004124491181961787</v>
      </c>
      <c r="T33" s="44">
        <f>IF(S33&gt;0,"",ABS(S33))</f>
        <v>0.004124491181961787</v>
      </c>
      <c r="U33" s="45">
        <f aca="true" t="shared" si="26" ref="U33:U43">IF(T33="","",RANK(T33,T$33:T$49))</f>
        <v>4</v>
      </c>
      <c r="V33" s="45">
        <f aca="true" t="shared" si="27" ref="V33:V43">RANK(S33,S$33:S$49)</f>
        <v>12</v>
      </c>
      <c r="W33" s="151">
        <v>3739952</v>
      </c>
      <c r="X33" s="46">
        <f aca="true" t="shared" si="28" ref="X33:X48">ROUND((O33-W33)/W33*100,1)</f>
        <v>-8.4</v>
      </c>
      <c r="Y33" s="48">
        <f aca="true" t="shared" si="29" ref="Y33:Y49">O33/$C$7*1000</f>
        <v>50672.877295714665</v>
      </c>
      <c r="Z33" s="21">
        <v>3265570</v>
      </c>
      <c r="AA33" s="53" t="s">
        <v>127</v>
      </c>
      <c r="AB33" s="54"/>
      <c r="AC33" s="227">
        <v>1942957</v>
      </c>
      <c r="AD33" s="120">
        <f t="shared" si="22"/>
        <v>15.7</v>
      </c>
      <c r="AE33" s="1">
        <f t="shared" si="23"/>
        <v>16.8</v>
      </c>
    </row>
    <row r="34" spans="1:31" ht="16.5" customHeight="1">
      <c r="A34" s="50" t="s">
        <v>171</v>
      </c>
      <c r="B34" s="22"/>
      <c r="C34" s="23">
        <v>18</v>
      </c>
      <c r="D34" s="23"/>
      <c r="E34" s="119">
        <v>54.3</v>
      </c>
      <c r="F34" s="23"/>
      <c r="G34" s="80">
        <v>280667</v>
      </c>
      <c r="H34" s="25" t="s">
        <v>163</v>
      </c>
      <c r="I34" s="269" t="s">
        <v>186</v>
      </c>
      <c r="J34" s="270"/>
      <c r="K34" s="271"/>
      <c r="L34" s="23"/>
      <c r="M34" s="231">
        <v>714000</v>
      </c>
      <c r="N34" s="121" t="s">
        <v>122</v>
      </c>
      <c r="O34" s="21">
        <v>2414918</v>
      </c>
      <c r="P34" s="42">
        <f>Q34</f>
        <v>14.7</v>
      </c>
      <c r="Q34" s="43">
        <f t="shared" si="24"/>
        <v>14.7</v>
      </c>
      <c r="R34" s="44">
        <f t="shared" si="25"/>
        <v>14.66096535080389</v>
      </c>
      <c r="S34" s="44"/>
      <c r="T34" s="44"/>
      <c r="U34" s="45">
        <f t="shared" si="26"/>
      </c>
      <c r="V34" s="45">
        <f t="shared" si="27"/>
        <v>10</v>
      </c>
      <c r="W34" s="151">
        <v>2705853</v>
      </c>
      <c r="X34" s="46">
        <f t="shared" si="28"/>
        <v>-10.8</v>
      </c>
      <c r="Y34" s="48">
        <f t="shared" si="29"/>
        <v>35709.904474610354</v>
      </c>
      <c r="Z34" s="21">
        <v>2276833</v>
      </c>
      <c r="AA34" s="53" t="s">
        <v>130</v>
      </c>
      <c r="AB34" s="54"/>
      <c r="AC34" s="227">
        <v>95337</v>
      </c>
      <c r="AD34" s="120">
        <f t="shared" si="22"/>
        <v>0.8</v>
      </c>
      <c r="AE34" s="1">
        <f t="shared" si="23"/>
        <v>0.8</v>
      </c>
    </row>
    <row r="35" spans="1:31" ht="16.5" customHeight="1">
      <c r="A35" s="50" t="s">
        <v>126</v>
      </c>
      <c r="B35" s="22"/>
      <c r="C35" s="23"/>
      <c r="D35" s="23"/>
      <c r="E35" s="119"/>
      <c r="F35" s="23"/>
      <c r="G35" s="80"/>
      <c r="H35" s="25" t="s">
        <v>163</v>
      </c>
      <c r="I35" s="269" t="s">
        <v>187</v>
      </c>
      <c r="J35" s="270"/>
      <c r="K35" s="271"/>
      <c r="L35" s="23"/>
      <c r="M35" s="231">
        <v>714000</v>
      </c>
      <c r="N35" s="40" t="s">
        <v>124</v>
      </c>
      <c r="O35" s="41">
        <v>2247922</v>
      </c>
      <c r="P35" s="42">
        <f aca="true" t="shared" si="30" ref="P35:P43">IF(Q$52&lt;100,(IF(U35&lt;=Q$53,ROUNDUP(R35,1),Q35)),(IF(V35&lt;=Q$53,ROUNDDOWN(R35,1),Q35)))</f>
        <v>13.6</v>
      </c>
      <c r="Q35" s="43">
        <f t="shared" si="24"/>
        <v>13.6</v>
      </c>
      <c r="R35" s="44">
        <f t="shared" si="25"/>
        <v>13.647132761157843</v>
      </c>
      <c r="S35" s="44">
        <f aca="true" t="shared" si="31" ref="S35:S43">Q35-R35</f>
        <v>-0.04713276115784382</v>
      </c>
      <c r="T35" s="44">
        <f aca="true" t="shared" si="32" ref="T35:T43">IF(S35&gt;0,"",ABS(S35))</f>
        <v>0.04713276115784382</v>
      </c>
      <c r="U35" s="45">
        <f t="shared" si="26"/>
        <v>1</v>
      </c>
      <c r="V35" s="45">
        <f t="shared" si="27"/>
        <v>15</v>
      </c>
      <c r="W35" s="151">
        <v>2186807</v>
      </c>
      <c r="X35" s="46">
        <f t="shared" si="28"/>
        <v>2.8</v>
      </c>
      <c r="Y35" s="48">
        <f t="shared" si="29"/>
        <v>33240.49921627776</v>
      </c>
      <c r="Z35" s="21">
        <v>877196</v>
      </c>
      <c r="AA35" s="53" t="s">
        <v>132</v>
      </c>
      <c r="AB35" s="54"/>
      <c r="AC35" s="227">
        <v>1687187</v>
      </c>
      <c r="AD35" s="120">
        <f t="shared" si="22"/>
        <v>13.7</v>
      </c>
      <c r="AE35" s="1">
        <f t="shared" si="23"/>
        <v>14.6</v>
      </c>
    </row>
    <row r="36" spans="1:40" ht="16.5" customHeight="1">
      <c r="A36" s="50" t="s">
        <v>128</v>
      </c>
      <c r="B36" s="22"/>
      <c r="C36" s="23"/>
      <c r="D36" s="23"/>
      <c r="E36" s="119"/>
      <c r="F36" s="23"/>
      <c r="G36" s="80"/>
      <c r="H36" s="25" t="s">
        <v>163</v>
      </c>
      <c r="I36" s="269" t="s">
        <v>167</v>
      </c>
      <c r="J36" s="270"/>
      <c r="K36" s="271"/>
      <c r="L36" s="23"/>
      <c r="M36" s="231">
        <v>420000</v>
      </c>
      <c r="N36" s="40" t="s">
        <v>74</v>
      </c>
      <c r="O36" s="41">
        <v>1674919</v>
      </c>
      <c r="P36" s="42">
        <f t="shared" si="30"/>
        <v>10.2</v>
      </c>
      <c r="Q36" s="43">
        <f t="shared" si="24"/>
        <v>10.2</v>
      </c>
      <c r="R36" s="44">
        <f t="shared" si="25"/>
        <v>10.168431981708322</v>
      </c>
      <c r="S36" s="44">
        <f t="shared" si="31"/>
        <v>0.031568018291677546</v>
      </c>
      <c r="T36" s="44">
        <f t="shared" si="32"/>
      </c>
      <c r="U36" s="45">
        <f t="shared" si="26"/>
      </c>
      <c r="V36" s="45">
        <f t="shared" si="27"/>
        <v>2</v>
      </c>
      <c r="W36" s="151">
        <v>1612562</v>
      </c>
      <c r="X36" s="46">
        <f t="shared" si="28"/>
        <v>3.9</v>
      </c>
      <c r="Y36" s="48">
        <f t="shared" si="29"/>
        <v>24767.382367728387</v>
      </c>
      <c r="Z36" s="21">
        <v>1654553</v>
      </c>
      <c r="AA36" s="53" t="s">
        <v>135</v>
      </c>
      <c r="AB36" s="54"/>
      <c r="AC36" s="227">
        <v>0</v>
      </c>
      <c r="AD36" s="120">
        <f t="shared" si="22"/>
        <v>0</v>
      </c>
      <c r="AE36" s="1">
        <f t="shared" si="23"/>
        <v>0</v>
      </c>
      <c r="AM36" s="125"/>
      <c r="AN36" s="125"/>
    </row>
    <row r="37" spans="1:31" ht="16.5" customHeight="1">
      <c r="A37" s="157"/>
      <c r="B37" s="143"/>
      <c r="C37" s="158"/>
      <c r="D37" s="158"/>
      <c r="E37" s="159"/>
      <c r="F37" s="158"/>
      <c r="G37" s="160"/>
      <c r="H37" s="161"/>
      <c r="I37" s="269" t="s">
        <v>131</v>
      </c>
      <c r="J37" s="270"/>
      <c r="K37" s="271"/>
      <c r="L37" s="23"/>
      <c r="M37" s="231">
        <v>368000</v>
      </c>
      <c r="N37" s="40" t="s">
        <v>129</v>
      </c>
      <c r="O37" s="41">
        <v>2532229</v>
      </c>
      <c r="P37" s="42">
        <f t="shared" si="30"/>
        <v>15.4</v>
      </c>
      <c r="Q37" s="43">
        <f t="shared" si="24"/>
        <v>15.4</v>
      </c>
      <c r="R37" s="44">
        <f t="shared" si="25"/>
        <v>15.373160343043027</v>
      </c>
      <c r="S37" s="44">
        <f t="shared" si="31"/>
        <v>0.0268396569569731</v>
      </c>
      <c r="T37" s="44">
        <f t="shared" si="32"/>
      </c>
      <c r="U37" s="45">
        <f t="shared" si="26"/>
      </c>
      <c r="V37" s="45">
        <f t="shared" si="27"/>
        <v>3</v>
      </c>
      <c r="W37" s="151">
        <v>2660694</v>
      </c>
      <c r="X37" s="46">
        <f t="shared" si="28"/>
        <v>-4.8</v>
      </c>
      <c r="Y37" s="48">
        <f t="shared" si="29"/>
        <v>37444.60710377665</v>
      </c>
      <c r="Z37" s="21">
        <v>2200742</v>
      </c>
      <c r="AA37" s="53" t="s">
        <v>139</v>
      </c>
      <c r="AB37" s="54"/>
      <c r="AC37" s="227">
        <v>784621</v>
      </c>
      <c r="AD37" s="120">
        <f t="shared" si="22"/>
        <v>6.4</v>
      </c>
      <c r="AE37" s="1">
        <f t="shared" si="23"/>
        <v>6.8</v>
      </c>
    </row>
    <row r="38" spans="1:31" ht="16.5" customHeight="1" thickBot="1">
      <c r="A38" s="26" t="s">
        <v>133</v>
      </c>
      <c r="B38" s="27"/>
      <c r="C38" s="122">
        <f>SUM(C32:C36)</f>
        <v>389</v>
      </c>
      <c r="D38" s="72"/>
      <c r="E38" s="123">
        <v>44.9</v>
      </c>
      <c r="F38" s="72"/>
      <c r="G38" s="124">
        <v>338810</v>
      </c>
      <c r="H38" s="74" t="s">
        <v>163</v>
      </c>
      <c r="I38" s="272" t="s">
        <v>168</v>
      </c>
      <c r="J38" s="273"/>
      <c r="K38" s="274"/>
      <c r="L38" s="72"/>
      <c r="M38" s="232">
        <v>347000</v>
      </c>
      <c r="N38" s="40" t="s">
        <v>130</v>
      </c>
      <c r="O38" s="41">
        <v>97769</v>
      </c>
      <c r="P38" s="42">
        <f t="shared" si="30"/>
        <v>0.6</v>
      </c>
      <c r="Q38" s="43">
        <f t="shared" si="24"/>
        <v>0.6</v>
      </c>
      <c r="R38" s="44">
        <f t="shared" si="25"/>
        <v>0.593555525025175</v>
      </c>
      <c r="S38" s="44">
        <f t="shared" si="31"/>
        <v>0.006444474974825032</v>
      </c>
      <c r="T38" s="44">
        <f t="shared" si="32"/>
      </c>
      <c r="U38" s="45">
        <f t="shared" si="26"/>
      </c>
      <c r="V38" s="45">
        <f t="shared" si="27"/>
        <v>8</v>
      </c>
      <c r="W38" s="151">
        <v>112627</v>
      </c>
      <c r="X38" s="46">
        <f t="shared" si="28"/>
        <v>-13.2</v>
      </c>
      <c r="Y38" s="48">
        <f t="shared" si="29"/>
        <v>1445.7309318901016</v>
      </c>
      <c r="Z38" s="21">
        <v>95337</v>
      </c>
      <c r="AA38" s="26" t="s">
        <v>143</v>
      </c>
      <c r="AB38" s="27"/>
      <c r="AC38" s="96">
        <f>SUM(AC29:AC37)-AC30</f>
        <v>10229478</v>
      </c>
      <c r="AD38" s="120">
        <f t="shared" si="22"/>
        <v>82.8</v>
      </c>
      <c r="AE38" s="1">
        <f t="shared" si="23"/>
        <v>88.6</v>
      </c>
    </row>
    <row r="39" spans="1:32" ht="16.5" customHeight="1">
      <c r="A39" s="16" t="s">
        <v>136</v>
      </c>
      <c r="B39" s="111"/>
      <c r="C39" s="111"/>
      <c r="D39" s="111"/>
      <c r="E39" s="286" t="s">
        <v>188</v>
      </c>
      <c r="F39" s="77"/>
      <c r="G39" s="10" t="s">
        <v>137</v>
      </c>
      <c r="H39" s="54"/>
      <c r="I39" s="10"/>
      <c r="J39" s="10"/>
      <c r="K39" s="111"/>
      <c r="L39" s="112" t="s">
        <v>138</v>
      </c>
      <c r="M39" s="18"/>
      <c r="N39" s="40" t="s">
        <v>134</v>
      </c>
      <c r="O39" s="41">
        <v>2023582</v>
      </c>
      <c r="P39" s="42">
        <f t="shared" si="30"/>
        <v>12.3</v>
      </c>
      <c r="Q39" s="43">
        <f t="shared" si="24"/>
        <v>12.3</v>
      </c>
      <c r="R39" s="44">
        <f t="shared" si="25"/>
        <v>12.285164790899913</v>
      </c>
      <c r="S39" s="44">
        <f t="shared" si="31"/>
        <v>0.014835209100088065</v>
      </c>
      <c r="T39" s="44">
        <f t="shared" si="32"/>
      </c>
      <c r="U39" s="45">
        <f t="shared" si="26"/>
      </c>
      <c r="V39" s="45">
        <f t="shared" si="27"/>
        <v>5</v>
      </c>
      <c r="W39" s="151">
        <v>2199584</v>
      </c>
      <c r="X39" s="46">
        <f t="shared" si="28"/>
        <v>-8</v>
      </c>
      <c r="Y39" s="48">
        <f t="shared" si="29"/>
        <v>29923.136071925</v>
      </c>
      <c r="Z39" s="21">
        <v>1958387</v>
      </c>
      <c r="AA39" s="289" t="s">
        <v>166</v>
      </c>
      <c r="AB39" s="290"/>
      <c r="AC39" s="291"/>
      <c r="AD39" s="267">
        <f>SUM(AD40:AE55)</f>
        <v>12347858</v>
      </c>
      <c r="AE39" s="268"/>
      <c r="AF39" s="3" t="s">
        <v>179</v>
      </c>
    </row>
    <row r="40" spans="1:32" ht="16.5" customHeight="1">
      <c r="A40" s="152"/>
      <c r="B40" s="153"/>
      <c r="C40" s="153"/>
      <c r="D40" s="203"/>
      <c r="E40" s="287"/>
      <c r="F40" s="154"/>
      <c r="G40" s="153" t="s">
        <v>141</v>
      </c>
      <c r="H40" s="153"/>
      <c r="I40" s="153"/>
      <c r="J40" s="153"/>
      <c r="K40" s="153"/>
      <c r="L40" s="154"/>
      <c r="M40" s="155">
        <v>5838916</v>
      </c>
      <c r="N40" s="40" t="s">
        <v>97</v>
      </c>
      <c r="O40" s="41">
        <v>906628</v>
      </c>
      <c r="P40" s="42">
        <f t="shared" si="30"/>
        <v>5.5</v>
      </c>
      <c r="Q40" s="43">
        <f t="shared" si="24"/>
        <v>5.5</v>
      </c>
      <c r="R40" s="44">
        <f t="shared" si="25"/>
        <v>5.504137902019293</v>
      </c>
      <c r="S40" s="44">
        <f t="shared" si="31"/>
        <v>-0.004137902019293094</v>
      </c>
      <c r="T40" s="44">
        <f t="shared" si="32"/>
        <v>0.004137902019293094</v>
      </c>
      <c r="U40" s="45">
        <f t="shared" si="26"/>
        <v>3</v>
      </c>
      <c r="V40" s="45">
        <f t="shared" si="27"/>
        <v>13</v>
      </c>
      <c r="W40" s="151">
        <v>684</v>
      </c>
      <c r="X40" s="46">
        <f t="shared" si="28"/>
        <v>132448</v>
      </c>
      <c r="Y40" s="48">
        <f t="shared" si="29"/>
        <v>13406.500458403572</v>
      </c>
      <c r="Z40" s="21">
        <v>904196</v>
      </c>
      <c r="AA40" s="127"/>
      <c r="AB40" s="22" t="s">
        <v>189</v>
      </c>
      <c r="AC40" s="22"/>
      <c r="AD40" s="247">
        <v>9299971</v>
      </c>
      <c r="AE40" s="248"/>
      <c r="AF40" s="220">
        <f>SUM(AD40:AE53)</f>
        <v>11541358</v>
      </c>
    </row>
    <row r="41" spans="1:31" ht="16.5" customHeight="1">
      <c r="A41" s="19" t="s">
        <v>140</v>
      </c>
      <c r="B41" s="64"/>
      <c r="C41" s="64"/>
      <c r="D41" s="64"/>
      <c r="E41" s="287"/>
      <c r="F41" s="64"/>
      <c r="G41" s="64"/>
      <c r="H41" s="64"/>
      <c r="I41" s="64"/>
      <c r="J41" s="64"/>
      <c r="K41" s="64"/>
      <c r="L41" s="11"/>
      <c r="M41" s="126" t="s">
        <v>145</v>
      </c>
      <c r="N41" s="40" t="s">
        <v>142</v>
      </c>
      <c r="O41" s="21">
        <v>0</v>
      </c>
      <c r="P41" s="42">
        <f t="shared" si="30"/>
        <v>0</v>
      </c>
      <c r="Q41" s="43">
        <f t="shared" si="24"/>
        <v>0</v>
      </c>
      <c r="R41" s="44">
        <f t="shared" si="25"/>
        <v>0</v>
      </c>
      <c r="S41" s="44">
        <f t="shared" si="31"/>
        <v>0</v>
      </c>
      <c r="T41" s="44">
        <f t="shared" si="32"/>
        <v>0</v>
      </c>
      <c r="U41" s="45">
        <f t="shared" si="26"/>
        <v>5</v>
      </c>
      <c r="V41" s="45">
        <f t="shared" si="27"/>
        <v>10</v>
      </c>
      <c r="W41" s="151">
        <v>0</v>
      </c>
      <c r="X41" s="46">
        <f>IF(AND(O41=0,W41=0),"",ROUND((O41-W41)/W41*100,1))</f>
      </c>
      <c r="Y41" s="48">
        <f t="shared" si="29"/>
        <v>0</v>
      </c>
      <c r="Z41" s="21">
        <v>0</v>
      </c>
      <c r="AA41" s="127"/>
      <c r="AB41" s="22" t="s">
        <v>190</v>
      </c>
      <c r="AC41" s="22"/>
      <c r="AD41" s="247">
        <v>554137</v>
      </c>
      <c r="AE41" s="248"/>
    </row>
    <row r="42" spans="1:39" ht="16.5" customHeight="1">
      <c r="A42" s="19" t="s">
        <v>144</v>
      </c>
      <c r="B42" s="64"/>
      <c r="C42" s="64"/>
      <c r="D42" s="64"/>
      <c r="E42" s="287"/>
      <c r="F42" s="64"/>
      <c r="G42" s="64" t="s">
        <v>159</v>
      </c>
      <c r="H42" s="64"/>
      <c r="I42" s="64"/>
      <c r="J42" s="64"/>
      <c r="K42" s="64"/>
      <c r="L42" s="11"/>
      <c r="M42" s="126">
        <v>3502814</v>
      </c>
      <c r="N42" s="40" t="s">
        <v>146</v>
      </c>
      <c r="O42" s="21">
        <v>14517</v>
      </c>
      <c r="P42" s="42">
        <f t="shared" si="30"/>
        <v>0.1</v>
      </c>
      <c r="Q42" s="43">
        <f t="shared" si="24"/>
        <v>0.1</v>
      </c>
      <c r="R42" s="44">
        <f t="shared" si="25"/>
        <v>0.0881326960160221</v>
      </c>
      <c r="S42" s="44">
        <f t="shared" si="31"/>
        <v>0.011867303983977909</v>
      </c>
      <c r="T42" s="44">
        <f t="shared" si="32"/>
      </c>
      <c r="U42" s="45">
        <f t="shared" si="26"/>
      </c>
      <c r="V42" s="45">
        <f t="shared" si="27"/>
        <v>7</v>
      </c>
      <c r="W42" s="151">
        <v>76650</v>
      </c>
      <c r="X42" s="46">
        <f t="shared" si="28"/>
        <v>-81.1</v>
      </c>
      <c r="Y42" s="48">
        <f t="shared" si="29"/>
        <v>214.66595688048974</v>
      </c>
      <c r="Z42" s="21">
        <v>0</v>
      </c>
      <c r="AA42" s="127"/>
      <c r="AB42" s="22" t="s">
        <v>191</v>
      </c>
      <c r="AC42" s="22"/>
      <c r="AD42" s="247">
        <v>35097</v>
      </c>
      <c r="AE42" s="248"/>
      <c r="AM42" s="131"/>
    </row>
    <row r="43" spans="1:31" ht="16.5" customHeight="1">
      <c r="A43" s="204" t="s">
        <v>164</v>
      </c>
      <c r="B43" s="162"/>
      <c r="C43" s="162"/>
      <c r="D43" s="163"/>
      <c r="E43" s="287"/>
      <c r="F43" s="64"/>
      <c r="G43" s="64"/>
      <c r="H43" s="64"/>
      <c r="I43" s="64"/>
      <c r="J43" s="64"/>
      <c r="K43" s="64"/>
      <c r="L43" s="11"/>
      <c r="M43" s="126" t="s">
        <v>145</v>
      </c>
      <c r="N43" s="40" t="s">
        <v>147</v>
      </c>
      <c r="O43" s="21">
        <v>2155825</v>
      </c>
      <c r="P43" s="42">
        <f t="shared" si="30"/>
        <v>13.1</v>
      </c>
      <c r="Q43" s="43">
        <f t="shared" si="24"/>
        <v>13.1</v>
      </c>
      <c r="R43" s="44">
        <f t="shared" si="25"/>
        <v>13.088011943841071</v>
      </c>
      <c r="S43" s="44">
        <f t="shared" si="31"/>
        <v>0.011988056158928728</v>
      </c>
      <c r="T43" s="44">
        <f t="shared" si="32"/>
      </c>
      <c r="U43" s="45">
        <f t="shared" si="26"/>
      </c>
      <c r="V43" s="45">
        <f t="shared" si="27"/>
        <v>6</v>
      </c>
      <c r="W43" s="151">
        <v>2160962</v>
      </c>
      <c r="X43" s="46">
        <f t="shared" si="28"/>
        <v>-0.2</v>
      </c>
      <c r="Y43" s="48">
        <f t="shared" si="29"/>
        <v>31878.64135095969</v>
      </c>
      <c r="Z43" s="21">
        <v>2076515</v>
      </c>
      <c r="AA43" s="132" t="s">
        <v>151</v>
      </c>
      <c r="AB43" s="22" t="s">
        <v>174</v>
      </c>
      <c r="AC43" s="22"/>
      <c r="AD43" s="247">
        <v>41972</v>
      </c>
      <c r="AE43" s="285"/>
    </row>
    <row r="44" spans="1:31" ht="16.5" customHeight="1">
      <c r="A44" s="235" t="s">
        <v>172</v>
      </c>
      <c r="B44" s="64"/>
      <c r="C44" s="64"/>
      <c r="D44" s="64"/>
      <c r="E44" s="287"/>
      <c r="F44" s="64"/>
      <c r="G44" s="64" t="s">
        <v>160</v>
      </c>
      <c r="H44" s="64"/>
      <c r="I44" s="64"/>
      <c r="J44" s="64"/>
      <c r="K44" s="64"/>
      <c r="L44" s="11"/>
      <c r="M44" s="126">
        <v>1616888</v>
      </c>
      <c r="N44" s="40" t="s">
        <v>148</v>
      </c>
      <c r="O44" s="48">
        <f>SUM(O45:O49)</f>
        <v>1391558</v>
      </c>
      <c r="P44" s="42">
        <f>SUM(P45:P48)</f>
        <v>8.400000000000002</v>
      </c>
      <c r="Q44" s="128">
        <f>SUM(Q45:Q48)</f>
        <v>8.500000000000002</v>
      </c>
      <c r="R44" s="44">
        <f t="shared" si="25"/>
        <v>8.44814756510737</v>
      </c>
      <c r="S44" s="44"/>
      <c r="T44" s="44"/>
      <c r="U44" s="45"/>
      <c r="V44" s="45"/>
      <c r="W44" s="129">
        <f>SUM(W45:W49)</f>
        <v>745685</v>
      </c>
      <c r="X44" s="46">
        <f t="shared" si="28"/>
        <v>86.6</v>
      </c>
      <c r="Y44" s="48">
        <f t="shared" si="29"/>
        <v>20577.263182799517</v>
      </c>
      <c r="Z44" s="48">
        <f>SUM(Z45:Z49)</f>
        <v>511873</v>
      </c>
      <c r="AA44" s="132"/>
      <c r="AB44" s="277" t="s">
        <v>175</v>
      </c>
      <c r="AC44" s="278"/>
      <c r="AD44" s="247">
        <v>34333</v>
      </c>
      <c r="AE44" s="285"/>
    </row>
    <row r="45" spans="1:31" ht="16.5" customHeight="1">
      <c r="A45" s="235" t="s">
        <v>149</v>
      </c>
      <c r="B45" s="64"/>
      <c r="C45" s="64"/>
      <c r="D45" s="236" t="s">
        <v>205</v>
      </c>
      <c r="E45" s="287"/>
      <c r="F45" s="64"/>
      <c r="G45" s="64"/>
      <c r="H45" s="64"/>
      <c r="I45" s="64"/>
      <c r="J45" s="64"/>
      <c r="K45" s="64"/>
      <c r="L45" s="11"/>
      <c r="M45" s="126" t="s">
        <v>145</v>
      </c>
      <c r="N45" s="130" t="s">
        <v>192</v>
      </c>
      <c r="O45" s="21">
        <v>65299</v>
      </c>
      <c r="P45" s="42">
        <f>IF(Q$52&lt;100,(IF(U45&lt;=Q$53,ROUNDUP(R45,1),Q45)),(IF(V45&lt;=Q$53,ROUNDDOWN(R45,1),Q45)))</f>
        <v>0.4</v>
      </c>
      <c r="Q45" s="43">
        <f>ROUND(O45/O$52*100,1)</f>
        <v>0.4</v>
      </c>
      <c r="R45" s="44">
        <f t="shared" si="25"/>
        <v>0.3964301795929067</v>
      </c>
      <c r="S45" s="44">
        <f>Q45-R45</f>
        <v>0.003569820407093305</v>
      </c>
      <c r="T45" s="44">
        <f>IF(S45&gt;0,"",ABS(S45))</f>
      </c>
      <c r="U45" s="45">
        <f>IF(T45="","",RANK(T45,T$33:T$49))</f>
      </c>
      <c r="V45" s="45">
        <f>RANK(S45,S$33:S$49)</f>
        <v>9</v>
      </c>
      <c r="W45" s="151">
        <v>91090</v>
      </c>
      <c r="X45" s="46">
        <f>IF(AND(W45=0),"",ROUND((O45-W45)/W45*100,1))</f>
        <v>-28.3</v>
      </c>
      <c r="Y45" s="48">
        <f t="shared" si="29"/>
        <v>965.5901576316801</v>
      </c>
      <c r="Z45" s="21">
        <v>0</v>
      </c>
      <c r="AA45" s="132"/>
      <c r="AB45" s="22" t="s">
        <v>42</v>
      </c>
      <c r="AC45" s="22"/>
      <c r="AD45" s="247">
        <v>517946</v>
      </c>
      <c r="AE45" s="248"/>
    </row>
    <row r="46" spans="1:31" ht="16.5" customHeight="1">
      <c r="A46" s="235" t="s">
        <v>150</v>
      </c>
      <c r="B46" s="64"/>
      <c r="C46" s="64"/>
      <c r="D46" s="64"/>
      <c r="E46" s="287"/>
      <c r="F46" s="64"/>
      <c r="G46" s="64" t="s">
        <v>161</v>
      </c>
      <c r="H46" s="64"/>
      <c r="I46" s="64"/>
      <c r="J46" s="64"/>
      <c r="K46" s="64"/>
      <c r="L46" s="11"/>
      <c r="M46" s="126">
        <v>1816752</v>
      </c>
      <c r="N46" s="130" t="s">
        <v>193</v>
      </c>
      <c r="O46" s="21">
        <v>1138279</v>
      </c>
      <c r="P46" s="42">
        <f>IF(Q$52&lt;100,(IF(U46&lt;=Q$53,ROUNDUP(R46,1),Q46)),(IF(V46&lt;=Q$53,ROUNDDOWN(R46,1),Q46)))</f>
        <v>6.9</v>
      </c>
      <c r="Q46" s="43">
        <f>ROUND(O46/O$52*100,1)</f>
        <v>6.9</v>
      </c>
      <c r="R46" s="44">
        <f t="shared" si="25"/>
        <v>6.910490947745513</v>
      </c>
      <c r="S46" s="44">
        <f>Q46-R46</f>
        <v>-0.010490947745513068</v>
      </c>
      <c r="T46" s="44">
        <f>IF(S46&gt;0,"",ABS(S46))</f>
        <v>0.010490947745513068</v>
      </c>
      <c r="U46" s="45">
        <f>IF(T46="","",RANK(T46,T$33:T$49))</f>
        <v>2</v>
      </c>
      <c r="V46" s="45">
        <f>RANK(S46,S$33:S$49)</f>
        <v>14</v>
      </c>
      <c r="W46" s="151">
        <v>485673</v>
      </c>
      <c r="X46" s="46">
        <f t="shared" si="28"/>
        <v>134.4</v>
      </c>
      <c r="Y46" s="48">
        <f t="shared" si="29"/>
        <v>16831.972909827582</v>
      </c>
      <c r="Z46" s="21">
        <v>440893</v>
      </c>
      <c r="AA46" s="132"/>
      <c r="AB46" s="22" t="s">
        <v>176</v>
      </c>
      <c r="AC46" s="22"/>
      <c r="AD46" s="247">
        <v>5933</v>
      </c>
      <c r="AE46" s="248"/>
    </row>
    <row r="47" spans="1:31" ht="16.5" customHeight="1">
      <c r="A47" s="156" t="s">
        <v>170</v>
      </c>
      <c r="B47" s="64"/>
      <c r="C47" s="64"/>
      <c r="D47" s="64"/>
      <c r="E47" s="287"/>
      <c r="F47" s="64"/>
      <c r="G47" s="64"/>
      <c r="H47" s="64"/>
      <c r="I47" s="64"/>
      <c r="J47" s="64"/>
      <c r="K47" s="64"/>
      <c r="L47" s="11"/>
      <c r="M47" s="126"/>
      <c r="N47" s="130" t="s">
        <v>152</v>
      </c>
      <c r="O47" s="21">
        <v>142237</v>
      </c>
      <c r="P47" s="42">
        <f>IF(Q$52&lt;100,(IF(U47&lt;=Q$53,ROUNDUP(R47,1),Q47)),(IF(V47&lt;=Q$53,ROUNDDOWN(R47,1),Q47)))</f>
        <v>0.8</v>
      </c>
      <c r="Q47" s="43">
        <f>ROUND(O47/O$52*100,1)</f>
        <v>0.9</v>
      </c>
      <c r="R47" s="44">
        <f t="shared" si="25"/>
        <v>0.8635207193794128</v>
      </c>
      <c r="S47" s="44">
        <f>Q47-R47</f>
        <v>0.03647928062058725</v>
      </c>
      <c r="T47" s="44">
        <f>IF(S47&gt;0,"",ABS(S47))</f>
      </c>
      <c r="U47" s="45">
        <f>IF(T47="","",RANK(T47,T$33:T$49))</f>
      </c>
      <c r="V47" s="45">
        <f>RANK(S47,S$33:S$49)</f>
        <v>1</v>
      </c>
      <c r="W47" s="151">
        <v>122710</v>
      </c>
      <c r="X47" s="46">
        <f t="shared" si="28"/>
        <v>15.9</v>
      </c>
      <c r="Y47" s="48">
        <f t="shared" si="29"/>
        <v>2103.2886759530356</v>
      </c>
      <c r="Z47" s="21">
        <v>25237</v>
      </c>
      <c r="AA47" s="132"/>
      <c r="AB47" s="22" t="s">
        <v>156</v>
      </c>
      <c r="AC47" s="22"/>
      <c r="AD47" s="247">
        <v>122627</v>
      </c>
      <c r="AE47" s="248"/>
    </row>
    <row r="48" spans="1:31" ht="16.5" customHeight="1">
      <c r="A48" s="19"/>
      <c r="B48" s="64"/>
      <c r="C48" s="64"/>
      <c r="D48" s="64"/>
      <c r="E48" s="287"/>
      <c r="F48" s="64"/>
      <c r="G48" s="64" t="s">
        <v>154</v>
      </c>
      <c r="H48" s="64"/>
      <c r="I48" s="64"/>
      <c r="J48" s="64"/>
      <c r="K48" s="64"/>
      <c r="L48" s="11"/>
      <c r="M48" s="126">
        <v>518232</v>
      </c>
      <c r="N48" s="130" t="s">
        <v>153</v>
      </c>
      <c r="O48" s="21">
        <v>45743</v>
      </c>
      <c r="P48" s="42">
        <f>Q48</f>
        <v>0.3</v>
      </c>
      <c r="Q48" s="43">
        <f>ROUND(O48/O$52*100,1)</f>
        <v>0.3</v>
      </c>
      <c r="R48" s="44">
        <f t="shared" si="25"/>
        <v>0.27770571838953634</v>
      </c>
      <c r="S48" s="44">
        <f>Q48-R48</f>
        <v>0.02229428161046365</v>
      </c>
      <c r="T48" s="44">
        <f>IF(S48&gt;0,"",ABS(S48))</f>
      </c>
      <c r="U48" s="45">
        <f>IF(T48="","",RANK(T48,T$33:T$49))</f>
      </c>
      <c r="V48" s="45">
        <f>RANK(S48,S$33:S$49)</f>
        <v>4</v>
      </c>
      <c r="W48" s="151">
        <v>46212</v>
      </c>
      <c r="X48" s="46">
        <f t="shared" si="28"/>
        <v>-1</v>
      </c>
      <c r="Y48" s="48">
        <f t="shared" si="29"/>
        <v>676.4114393872179</v>
      </c>
      <c r="Z48" s="21">
        <v>45743</v>
      </c>
      <c r="AA48" s="196"/>
      <c r="AB48" s="158" t="s">
        <v>57</v>
      </c>
      <c r="AC48" s="22"/>
      <c r="AD48" s="247">
        <v>325191</v>
      </c>
      <c r="AE48" s="248"/>
    </row>
    <row r="49" spans="1:31" ht="16.5" customHeight="1">
      <c r="A49" s="19"/>
      <c r="B49" s="64"/>
      <c r="C49" s="64"/>
      <c r="D49" s="64"/>
      <c r="E49" s="287"/>
      <c r="F49" s="64"/>
      <c r="G49" s="64"/>
      <c r="H49" s="64"/>
      <c r="I49" s="64"/>
      <c r="J49" s="64"/>
      <c r="K49" s="64"/>
      <c r="L49" s="11"/>
      <c r="M49" s="67"/>
      <c r="N49" s="130" t="s">
        <v>155</v>
      </c>
      <c r="O49" s="23">
        <v>0</v>
      </c>
      <c r="P49" s="42">
        <f>Q49</f>
        <v>0</v>
      </c>
      <c r="Q49" s="43">
        <f>ROUND(O49/O$52*100,1)</f>
        <v>0</v>
      </c>
      <c r="R49" s="44">
        <f t="shared" si="25"/>
        <v>0</v>
      </c>
      <c r="S49" s="44">
        <f>Q49-R49</f>
        <v>0</v>
      </c>
      <c r="T49" s="44">
        <f>IF(S49&gt;0,"",ABS(S49))</f>
        <v>0</v>
      </c>
      <c r="U49" s="45">
        <f>IF(T49="","",RANK(T49,T$33:T$49))</f>
        <v>5</v>
      </c>
      <c r="V49" s="45">
        <f>RANK(S49,S$33:S$49)</f>
        <v>10</v>
      </c>
      <c r="W49" s="151">
        <v>0</v>
      </c>
      <c r="X49" s="46">
        <f>IF(AND(O49=0,W49=0),"",ROUND((O49-W49)/W49*100,1))</f>
      </c>
      <c r="Y49" s="86">
        <f t="shared" si="29"/>
        <v>0</v>
      </c>
      <c r="Z49" s="21">
        <v>0</v>
      </c>
      <c r="AA49" s="199"/>
      <c r="AB49" s="22" t="s">
        <v>194</v>
      </c>
      <c r="AC49" s="22"/>
      <c r="AD49" s="247">
        <v>554137</v>
      </c>
      <c r="AE49" s="248"/>
    </row>
    <row r="50" spans="1:31" ht="16.5" customHeight="1">
      <c r="A50" s="19"/>
      <c r="B50" s="64"/>
      <c r="C50" s="64"/>
      <c r="D50" s="64"/>
      <c r="E50" s="287"/>
      <c r="F50" s="64"/>
      <c r="G50" s="64" t="s">
        <v>173</v>
      </c>
      <c r="H50" s="64"/>
      <c r="I50" s="64"/>
      <c r="J50" s="64"/>
      <c r="K50" s="64"/>
      <c r="L50" s="11"/>
      <c r="M50" s="224">
        <v>78844</v>
      </c>
      <c r="N50" s="19"/>
      <c r="O50" s="11"/>
      <c r="P50" s="133"/>
      <c r="Q50" s="134"/>
      <c r="R50" s="135"/>
      <c r="S50" s="135"/>
      <c r="T50" s="135"/>
      <c r="U50" s="136"/>
      <c r="V50" s="136"/>
      <c r="W50" s="136"/>
      <c r="X50" s="11"/>
      <c r="Y50" s="11"/>
      <c r="Z50" s="11"/>
      <c r="AA50" s="196" t="s">
        <v>157</v>
      </c>
      <c r="AB50" s="197" t="s">
        <v>158</v>
      </c>
      <c r="AC50" s="22"/>
      <c r="AD50" s="247">
        <v>10957</v>
      </c>
      <c r="AE50" s="248"/>
    </row>
    <row r="51" spans="1:31" ht="16.5" customHeight="1">
      <c r="A51" s="19"/>
      <c r="B51" s="64"/>
      <c r="C51" s="64"/>
      <c r="D51" s="64"/>
      <c r="E51" s="287"/>
      <c r="F51" s="64"/>
      <c r="G51" s="64"/>
      <c r="H51" s="64"/>
      <c r="I51" s="64"/>
      <c r="J51" s="64"/>
      <c r="K51" s="64"/>
      <c r="L51" s="11"/>
      <c r="M51" s="67"/>
      <c r="N51" s="19"/>
      <c r="O51" s="11"/>
      <c r="P51" s="133"/>
      <c r="Q51" s="134"/>
      <c r="R51" s="135"/>
      <c r="S51" s="135"/>
      <c r="T51" s="135"/>
      <c r="U51" s="136"/>
      <c r="V51" s="136"/>
      <c r="W51" s="136"/>
      <c r="X51" s="11"/>
      <c r="Y51" s="11"/>
      <c r="Z51" s="11"/>
      <c r="AA51" s="19"/>
      <c r="AB51" s="23" t="s">
        <v>195</v>
      </c>
      <c r="AC51" s="22"/>
      <c r="AD51" s="247">
        <v>32955</v>
      </c>
      <c r="AE51" s="248"/>
    </row>
    <row r="52" spans="1:31" ht="16.5" customHeight="1">
      <c r="A52" s="19"/>
      <c r="B52" s="64"/>
      <c r="C52" s="64"/>
      <c r="D52" s="64"/>
      <c r="E52" s="287"/>
      <c r="F52" s="64"/>
      <c r="G52" s="64"/>
      <c r="H52" s="64"/>
      <c r="I52" s="64"/>
      <c r="J52" s="64"/>
      <c r="K52" s="64"/>
      <c r="L52" s="11"/>
      <c r="M52" s="67"/>
      <c r="N52" s="106" t="s">
        <v>109</v>
      </c>
      <c r="O52" s="137">
        <f>SUM(O33:O51)-O34-O45-O46-O47-O48-O49</f>
        <v>16471753</v>
      </c>
      <c r="P52" s="138">
        <f>SUM(P33:P44)-P34</f>
        <v>99.99999999999999</v>
      </c>
      <c r="Q52" s="134">
        <f>SUM(Q33:Q44)-Q34</f>
        <v>100.09999999999998</v>
      </c>
      <c r="R52" s="134">
        <f>SUM(R33:R44)-R34</f>
        <v>99.99999999999999</v>
      </c>
      <c r="S52" s="135"/>
      <c r="T52" s="135"/>
      <c r="U52" s="136"/>
      <c r="V52" s="136"/>
      <c r="W52" s="137">
        <f>SUM(W33:W51)-W34-W45-W46-W47-W48-W49</f>
        <v>15496207</v>
      </c>
      <c r="X52" s="142">
        <f>ROUND((O52-W52)/W52*100,1)</f>
        <v>6.3</v>
      </c>
      <c r="Y52" s="137">
        <f>SUM(Y33:Y51)-Y34-Y45-Y46-Y47-Y48-Y49</f>
        <v>243571.30393635595</v>
      </c>
      <c r="Z52" s="137">
        <f>SUM(Z33:Z51)-Z34-Z45-Z46-Z47-Z48-Z49</f>
        <v>13544369</v>
      </c>
      <c r="AA52" s="195"/>
      <c r="AB52" s="23" t="s">
        <v>196</v>
      </c>
      <c r="AC52" s="22"/>
      <c r="AD52" s="247">
        <v>2709</v>
      </c>
      <c r="AE52" s="248"/>
    </row>
    <row r="53" spans="1:31" ht="16.5" customHeight="1">
      <c r="A53" s="19"/>
      <c r="B53" s="64"/>
      <c r="C53" s="64"/>
      <c r="D53" s="64"/>
      <c r="E53" s="287"/>
      <c r="F53" s="64"/>
      <c r="G53" s="64"/>
      <c r="H53" s="64"/>
      <c r="I53" s="64"/>
      <c r="J53" s="64"/>
      <c r="K53" s="64"/>
      <c r="L53" s="11"/>
      <c r="M53" s="67"/>
      <c r="N53" s="106"/>
      <c r="O53" s="139"/>
      <c r="P53" s="140"/>
      <c r="Q53" s="141">
        <f>ABS(ROUND(100-Q52,1)*10)</f>
        <v>1</v>
      </c>
      <c r="R53" s="134"/>
      <c r="S53" s="135"/>
      <c r="T53" s="135"/>
      <c r="U53" s="136"/>
      <c r="V53" s="136"/>
      <c r="W53" s="136"/>
      <c r="X53" s="142"/>
      <c r="Y53" s="139"/>
      <c r="Z53" s="139"/>
      <c r="AA53" s="195"/>
      <c r="AB53" s="23" t="s">
        <v>197</v>
      </c>
      <c r="AC53" s="22"/>
      <c r="AD53" s="247">
        <v>3393</v>
      </c>
      <c r="AE53" s="248"/>
    </row>
    <row r="54" spans="1:31" ht="16.5" customHeight="1">
      <c r="A54" s="19"/>
      <c r="B54" s="64"/>
      <c r="C54" s="64"/>
      <c r="D54" s="64"/>
      <c r="E54" s="287"/>
      <c r="F54" s="64"/>
      <c r="G54" s="64"/>
      <c r="H54" s="64"/>
      <c r="I54" s="64"/>
      <c r="J54" s="64"/>
      <c r="K54" s="64"/>
      <c r="L54" s="11"/>
      <c r="M54" s="67"/>
      <c r="N54" s="106"/>
      <c r="O54" s="139"/>
      <c r="P54" s="140"/>
      <c r="Q54" s="141"/>
      <c r="R54" s="134"/>
      <c r="S54" s="135"/>
      <c r="T54" s="135"/>
      <c r="U54" s="136"/>
      <c r="V54" s="136"/>
      <c r="W54" s="136"/>
      <c r="X54" s="142"/>
      <c r="Y54" s="139"/>
      <c r="Z54" s="176"/>
      <c r="AA54" s="199"/>
      <c r="AB54" s="201" t="s">
        <v>180</v>
      </c>
      <c r="AC54" s="22"/>
      <c r="AD54" s="275">
        <v>114800</v>
      </c>
      <c r="AE54" s="276"/>
    </row>
    <row r="55" spans="1:31" ht="16.5" customHeight="1" thickBot="1">
      <c r="A55" s="68"/>
      <c r="B55" s="71"/>
      <c r="C55" s="71"/>
      <c r="D55" s="71"/>
      <c r="E55" s="288"/>
      <c r="F55" s="71"/>
      <c r="G55" s="71"/>
      <c r="H55" s="71"/>
      <c r="I55" s="71"/>
      <c r="J55" s="71"/>
      <c r="K55" s="71"/>
      <c r="L55" s="72"/>
      <c r="M55" s="74"/>
      <c r="N55" s="26"/>
      <c r="O55" s="210"/>
      <c r="P55" s="211"/>
      <c r="Q55" s="212"/>
      <c r="R55" s="213"/>
      <c r="S55" s="214"/>
      <c r="T55" s="214"/>
      <c r="U55" s="215"/>
      <c r="V55" s="215"/>
      <c r="W55" s="215"/>
      <c r="X55" s="216"/>
      <c r="Y55" s="210"/>
      <c r="Z55" s="177"/>
      <c r="AA55" s="209"/>
      <c r="AB55" s="202" t="s">
        <v>162</v>
      </c>
      <c r="AC55" s="71"/>
      <c r="AD55" s="263">
        <v>691700</v>
      </c>
      <c r="AE55" s="264"/>
    </row>
    <row r="56" spans="1:31" ht="13.5">
      <c r="A56" s="13" t="s">
        <v>209</v>
      </c>
      <c r="B56" s="13"/>
      <c r="C56" s="13"/>
      <c r="D56" s="13"/>
      <c r="E56" s="217"/>
      <c r="F56" s="13"/>
      <c r="G56" s="13"/>
      <c r="H56" s="13"/>
      <c r="I56" s="13"/>
      <c r="J56" s="13"/>
      <c r="K56" s="13"/>
      <c r="L56" s="13"/>
      <c r="M56" s="13"/>
      <c r="N56" s="13"/>
      <c r="O56" s="218"/>
      <c r="P56" s="13"/>
      <c r="Q56" s="219"/>
      <c r="R56" s="219"/>
      <c r="S56" s="219"/>
      <c r="T56" s="219"/>
      <c r="U56" s="219"/>
      <c r="V56" s="219"/>
      <c r="W56" s="219"/>
      <c r="X56" s="13"/>
      <c r="Y56" s="13"/>
      <c r="Z56" s="219"/>
      <c r="AC56" s="145">
        <f ca="1">NOW()</f>
        <v>39357.62573854167</v>
      </c>
      <c r="AD56" s="145"/>
      <c r="AE56" s="146"/>
    </row>
    <row r="58" spans="1:15" ht="13.5">
      <c r="A58" s="105"/>
      <c r="B58" s="105"/>
      <c r="C58" s="105"/>
      <c r="D58" s="105"/>
      <c r="E58" s="147"/>
      <c r="F58" s="105"/>
      <c r="G58" s="148"/>
      <c r="O58" s="131"/>
    </row>
  </sheetData>
  <mergeCells count="54">
    <mergeCell ref="A22:C23"/>
    <mergeCell ref="AD43:AE43"/>
    <mergeCell ref="AD44:AE44"/>
    <mergeCell ref="E39:E55"/>
    <mergeCell ref="AA39:AC39"/>
    <mergeCell ref="I32:K32"/>
    <mergeCell ref="I33:K33"/>
    <mergeCell ref="I34:K34"/>
    <mergeCell ref="I35:K35"/>
    <mergeCell ref="I36:K36"/>
    <mergeCell ref="I37:K37"/>
    <mergeCell ref="I38:K38"/>
    <mergeCell ref="AD53:AE53"/>
    <mergeCell ref="AD54:AE54"/>
    <mergeCell ref="AD41:AE41"/>
    <mergeCell ref="AD42:AE42"/>
    <mergeCell ref="AD47:AE47"/>
    <mergeCell ref="AD48:AE48"/>
    <mergeCell ref="AB44:AC44"/>
    <mergeCell ref="AD55:AE55"/>
    <mergeCell ref="AD28:AE28"/>
    <mergeCell ref="AD49:AE49"/>
    <mergeCell ref="AD50:AE50"/>
    <mergeCell ref="AD51:AE51"/>
    <mergeCell ref="AD52:AE52"/>
    <mergeCell ref="AD45:AE45"/>
    <mergeCell ref="AD46:AE46"/>
    <mergeCell ref="AD39:AE39"/>
    <mergeCell ref="AD40:AE40"/>
    <mergeCell ref="AD26:AE26"/>
    <mergeCell ref="AD27:AE27"/>
    <mergeCell ref="AD21:AE21"/>
    <mergeCell ref="AD22:AE22"/>
    <mergeCell ref="AD24:AE24"/>
    <mergeCell ref="AD25:AE25"/>
    <mergeCell ref="AD17:AE17"/>
    <mergeCell ref="AD18:AE18"/>
    <mergeCell ref="AD19:AE19"/>
    <mergeCell ref="AD20:AE20"/>
    <mergeCell ref="AD13:AE13"/>
    <mergeCell ref="AD14:AE14"/>
    <mergeCell ref="AD15:AE15"/>
    <mergeCell ref="AD16:AE16"/>
    <mergeCell ref="AD4:AE4"/>
    <mergeCell ref="AD5:AE5"/>
    <mergeCell ref="AD6:AE6"/>
    <mergeCell ref="AD7:AE7"/>
    <mergeCell ref="D11:E11"/>
    <mergeCell ref="F11:H11"/>
    <mergeCell ref="AD12:AE12"/>
    <mergeCell ref="AD8:AE8"/>
    <mergeCell ref="AD9:AE9"/>
    <mergeCell ref="AD10:AE10"/>
    <mergeCell ref="AD11:AE11"/>
  </mergeCells>
  <printOptions horizontalCentered="1"/>
  <pageMargins left="0.5511811023622047" right="0.2755905511811024" top="0.35433070866141736" bottom="0.03937007874015748" header="0.35433070866141736" footer="0.15748031496062992"/>
  <pageSetup horizontalDpi="600" verticalDpi="600" orientation="landscape" paperSize="9" scale="64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siki</dc:creator>
  <cp:keywords/>
  <dc:description/>
  <cp:lastModifiedBy>Jun</cp:lastModifiedBy>
  <cp:lastPrinted>2007-08-15T07:31:23Z</cp:lastPrinted>
  <dcterms:created xsi:type="dcterms:W3CDTF">2002-06-28T01:59:58Z</dcterms:created>
  <dcterms:modified xsi:type="dcterms:W3CDTF">2007-10-02T06:01:11Z</dcterms:modified>
  <cp:category/>
  <cp:version/>
  <cp:contentType/>
  <cp:contentStatus/>
</cp:coreProperties>
</file>